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B&amp;A\BUDGET\84th Legislature\Monthly_Financial_Reports\2017\2017_07_Mar\Reports for Distribution\"/>
    </mc:Choice>
  </mc:AlternateContent>
  <bookViews>
    <workbookView xWindow="-15" yWindow="5985" windowWidth="24030" windowHeight="3795" tabRatio="873"/>
  </bookViews>
  <sheets>
    <sheet name="Schedule 1" sheetId="11" r:id="rId1"/>
    <sheet name="Schedule 1 Supplemental" sheetId="55" r:id="rId2"/>
    <sheet name="Schedule 2" sheetId="30" r:id="rId3"/>
    <sheet name="Schedule 3" sheetId="14" r:id="rId4"/>
    <sheet name="Schedule 4" sheetId="12" r:id="rId5"/>
    <sheet name="Schedule 5" sheetId="17" r:id="rId6"/>
    <sheet name="Fund 0888" sheetId="70" r:id="rId7"/>
    <sheet name="Fund 5085" sheetId="71" r:id="rId8"/>
    <sheet name="Fund 5084" sheetId="72" r:id="rId9"/>
    <sheet name="Fund 0666" sheetId="73" r:id="rId10"/>
    <sheet name="Fund 8093" sheetId="74" r:id="rId11"/>
    <sheet name="Fund 0802" sheetId="75" r:id="rId12"/>
    <sheet name="Fund 0001" sheetId="76" r:id="rId13"/>
    <sheet name="Schedule 7" sheetId="18" r:id="rId14"/>
    <sheet name="Footnotes to Schedule 7" sheetId="19" state="hidden" r:id="rId15"/>
    <sheet name="Schedule 8" sheetId="26" r:id="rId16"/>
  </sheets>
  <definedNames>
    <definedName name="_1REPORT_1" localSheetId="13">#REF!</definedName>
    <definedName name="_3REPORT_1" localSheetId="6">#REF!</definedName>
    <definedName name="_3REPORT_1" localSheetId="1">#REF!</definedName>
    <definedName name="_3REPORT_1" localSheetId="2">#REF!</definedName>
    <definedName name="_3REPORT_1">#REF!</definedName>
    <definedName name="_xlnm._FilterDatabase" localSheetId="2" hidden="1">'Schedule 2'!$A$5:$N$41</definedName>
    <definedName name="_xlnm._FilterDatabase" localSheetId="3" hidden="1">'Schedule 3'!$A$5:$J$50</definedName>
    <definedName name="Capital" localSheetId="6">#REF!</definedName>
    <definedName name="Capital" localSheetId="1">#REF!</definedName>
    <definedName name="Capital" localSheetId="2">#REF!</definedName>
    <definedName name="Capital" localSheetId="13">#REF!</definedName>
    <definedName name="Capital">#REF!</definedName>
    <definedName name="Data">'Schedule 3'!$M$6:$M$44</definedName>
    <definedName name="FISCAL_YEAR" localSheetId="6">#REF!</definedName>
    <definedName name="FISCAL_YEAR" localSheetId="0">'Schedule 1'!#REF!</definedName>
    <definedName name="FISCAL_YEAR" localSheetId="1">#REF!</definedName>
    <definedName name="FISCAL_YEAR" localSheetId="2">#REF!</definedName>
    <definedName name="FISCAL_YEAR" localSheetId="3">'Schedule 3'!#REF!</definedName>
    <definedName name="FISCAL_YEAR" localSheetId="4">'Schedule 4'!#REF!</definedName>
    <definedName name="FISCAL_YEAR" localSheetId="5">'Schedule 5'!#REF!</definedName>
    <definedName name="FISCAL_YEAR" localSheetId="13">'Schedule 7'!#REF!</definedName>
    <definedName name="FISCAL_YEAR">#REF!</definedName>
    <definedName name="FISCAL_YEAR2" localSheetId="6">#REF!</definedName>
    <definedName name="FISCAL_YEAR2" localSheetId="0">'Schedule 1'!#REF!</definedName>
    <definedName name="FISCAL_YEAR2" localSheetId="2">#REF!</definedName>
    <definedName name="FISCAL_YEAR2" localSheetId="13">#REF!</definedName>
    <definedName name="FISCAL_YEAR2">#REF!</definedName>
    <definedName name="MOF_Link" localSheetId="2">#REF!</definedName>
    <definedName name="MOF_Link" localSheetId="13">#REF!</definedName>
    <definedName name="MOF_Link">#REF!</definedName>
    <definedName name="MOF_Link_Bud" localSheetId="2">#REF!</definedName>
    <definedName name="MOF_Link_Bud" localSheetId="13">#REF!</definedName>
    <definedName name="MOF_Link_Bud">#REF!</definedName>
    <definedName name="MOF_Link_Exp" localSheetId="2">#REF!</definedName>
    <definedName name="MOF_Link_Exp" localSheetId="13">#REF!</definedName>
    <definedName name="MOF_Link_Exp">#REF!</definedName>
    <definedName name="NvsASD" localSheetId="0">"V2009-03-31"</definedName>
    <definedName name="NvsASD" localSheetId="3">"V2009-03-31"</definedName>
    <definedName name="NvsASD" localSheetId="4">"V2009-03-31"</definedName>
    <definedName name="NvsASD" localSheetId="5">"V2009-03-31"</definedName>
    <definedName name="NvsASD" localSheetId="13">"V2008-12-31"</definedName>
    <definedName name="NvsASD">"V2009-02-28"</definedName>
    <definedName name="NvsAutoDrillOk">"VN"</definedName>
    <definedName name="NvsElapsedTime" localSheetId="12">0.0000347222230629995</definedName>
    <definedName name="NvsElapsedTime" localSheetId="9">0.0000347222230629995</definedName>
    <definedName name="NvsElapsedTime" localSheetId="11">0.0000115740695036948</definedName>
    <definedName name="NvsElapsedTime" localSheetId="8">0.0000694444461259991</definedName>
    <definedName name="NvsElapsedTime" localSheetId="7">0.0000694444461259991</definedName>
    <definedName name="NvsElapsedTime" localSheetId="10">0.0000347222230629995</definedName>
    <definedName name="NvsElapsedTime" localSheetId="0">0.0000925925996853039</definedName>
    <definedName name="NvsElapsedTime" localSheetId="3">0.00844907407736173</definedName>
    <definedName name="NvsElapsedTime" localSheetId="4">0.0000231481462833472</definedName>
    <definedName name="NvsElapsedTime" localSheetId="5">0.0000231481462833472</definedName>
    <definedName name="NvsElapsedTime" localSheetId="13">0.0000231481462833472</definedName>
    <definedName name="NvsElapsedTime">0.0000347222230629995</definedName>
    <definedName name="NvsEndTime" localSheetId="12">40976.4375231481</definedName>
    <definedName name="NvsEndTime" localSheetId="9">40976.437974537</definedName>
    <definedName name="NvsEndTime" localSheetId="11">40976.4384259259</definedName>
    <definedName name="NvsEndTime" localSheetId="8">40976.4362268519</definedName>
    <definedName name="NvsEndTime" localSheetId="7">40976.4352430556</definedName>
    <definedName name="NvsEndTime" localSheetId="10">40976.437974537</definedName>
    <definedName name="NvsEndTime" localSheetId="0">39939.4283333333</definedName>
    <definedName name="NvsEndTime" localSheetId="3">39939.461099537</definedName>
    <definedName name="NvsEndTime" localSheetId="4">39939.4408796296</definedName>
    <definedName name="NvsEndTime" localSheetId="5">39939.4408796296</definedName>
    <definedName name="NvsEndTime" localSheetId="13">39846.5348148148</definedName>
    <definedName name="NvsEndTime">39897.4423148148</definedName>
    <definedName name="NvsInstLang">"VENG"</definedName>
    <definedName name="NvsInstSpec" localSheetId="8">"%,FBUDGET_REF,TBUDGET_REF,NALL"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12">"M"</definedName>
    <definedName name="NvsSheetType" localSheetId="9">"M"</definedName>
    <definedName name="NvsSheetType" localSheetId="11">"M"</definedName>
    <definedName name="NvsSheetType" localSheetId="6">"M"</definedName>
    <definedName name="NvsSheetType" localSheetId="8">"M"</definedName>
    <definedName name="NvsSheetType" localSheetId="7">"M"</definedName>
    <definedName name="NvsSheetType" localSheetId="10">"M"</definedName>
    <definedName name="NvsSheetType" localSheetId="0">"M"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SheetType" localSheetId="13">"M"</definedName>
    <definedName name="NvsTransLed">"VN"</definedName>
    <definedName name="NvsTreeASD" localSheetId="0">"V2009-03-31"</definedName>
    <definedName name="NvsTreeASD" localSheetId="3">"V2009-03-31"</definedName>
    <definedName name="NvsTreeASD" localSheetId="4">"V2009-03-31"</definedName>
    <definedName name="NvsTreeASD" localSheetId="5">"V2009-03-31"</definedName>
    <definedName name="NvsTreeASD" localSheetId="13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6">#REF!</definedName>
    <definedName name="PERIOD_ENDING" localSheetId="0">'Schedule 1'!#REF!</definedName>
    <definedName name="PERIOD_ENDING" localSheetId="1">#REF!</definedName>
    <definedName name="PERIOD_ENDING" localSheetId="2">#REF!</definedName>
    <definedName name="PERIOD_ENDING" localSheetId="3">'Schedule 3'!#REF!</definedName>
    <definedName name="PERIOD_ENDING" localSheetId="4">'Schedule 4'!#REF!</definedName>
    <definedName name="PERIOD_ENDING" localSheetId="5">'Schedule 5'!#REF!</definedName>
    <definedName name="PERIOD_ENDING" localSheetId="13">'Schedule 7'!#REF!</definedName>
    <definedName name="PERIOD_ENDING">#REF!</definedName>
    <definedName name="PERIOD_ENDING2" localSheetId="6">#REF!</definedName>
    <definedName name="PERIOD_ENDING2" localSheetId="0">'Schedule 1'!#REF!</definedName>
    <definedName name="PERIOD_ENDING2" localSheetId="2">#REF!</definedName>
    <definedName name="PERIOD_ENDING2" localSheetId="13">#REF!</definedName>
    <definedName name="PERIOD_ENDING2">#REF!</definedName>
    <definedName name="_xlnm.Print_Area" localSheetId="14">'Footnotes to Schedule 7'!$A$1:$C$15</definedName>
    <definedName name="_xlnm.Print_Area" localSheetId="12">'Fund 0001'!$A$1:$N$33</definedName>
    <definedName name="_xlnm.Print_Area" localSheetId="9">'Fund 0666'!$A$1:$N$34</definedName>
    <definedName name="_xlnm.Print_Area" localSheetId="11">'Fund 0802'!$A$1:$N$30</definedName>
    <definedName name="_xlnm.Print_Area" localSheetId="6">'Fund 0888'!$A$1:$N$35</definedName>
    <definedName name="_xlnm.Print_Area" localSheetId="8">'Fund 5084'!$A$1:$N$42</definedName>
    <definedName name="_xlnm.Print_Area" localSheetId="7">'Fund 5085'!$A$1:$N$35</definedName>
    <definedName name="_xlnm.Print_Area" localSheetId="10">'Fund 8093'!$A$1:$N$35</definedName>
    <definedName name="_xlnm.Print_Area" localSheetId="0">'Schedule 1'!$A$1:$L$56</definedName>
    <definedName name="_xlnm.Print_Area" localSheetId="2">'Schedule 2'!$A$1:$H$47</definedName>
    <definedName name="_xlnm.Print_Area" localSheetId="3">'Schedule 3'!$A$1:$J$56</definedName>
    <definedName name="_xlnm.Print_Area" localSheetId="4">'Schedule 4'!$A$1:$N$44</definedName>
    <definedName name="_xlnm.Print_Area" localSheetId="5">'Schedule 5'!$A$1:$N$46</definedName>
    <definedName name="_xlnm.Print_Area" localSheetId="13">'Schedule 7'!$A$1:$L$36</definedName>
    <definedName name="_xlnm.Print_Area" localSheetId="15">'Schedule 8'!$A$1:$G$28</definedName>
    <definedName name="_xlnm.Print_Titles" localSheetId="0">'Schedule 1'!$1:$3</definedName>
    <definedName name="_xlnm.Print_Titles" localSheetId="1">'Schedule 1 Supplemental'!$A:$B</definedName>
    <definedName name="_xlnm.Print_Titles" localSheetId="2">'Schedule 2'!$1:$3</definedName>
    <definedName name="_xlnm.Print_Titles" localSheetId="3">'Schedule 3'!$1:$3</definedName>
    <definedName name="_xlnm.Print_Titles" localSheetId="4">'Schedule 4'!$1:$5</definedName>
    <definedName name="_xlnm.Print_Titles" localSheetId="5">'Schedule 5'!$1:$4</definedName>
    <definedName name="REPORT" localSheetId="6">#REF!</definedName>
    <definedName name="REPORT" localSheetId="1">#REF!</definedName>
    <definedName name="REPORT" localSheetId="2">#REF!</definedName>
    <definedName name="REPORT" localSheetId="13">#REF!</definedName>
    <definedName name="REPORT">#REF!</definedName>
    <definedName name="TCM">#REF!</definedName>
    <definedName name="Z_46622DE0_E91A_4302_BCA7_5EE9B6F39336_.wvu.Rows" localSheetId="13" hidden="1">'Schedule 7'!$22:$23</definedName>
    <definedName name="Z_8F8E0CD0_CBCE_40E8_A79C_FFB34B5A61AC_.wvu.Rows" localSheetId="13" hidden="1">'Schedule 7'!$22:$23</definedName>
  </definedNames>
  <calcPr calcId="152511"/>
</workbook>
</file>

<file path=xl/calcChain.xml><?xml version="1.0" encoding="utf-8"?>
<calcChain xmlns="http://schemas.openxmlformats.org/spreadsheetml/2006/main">
  <c r="G16" i="26" l="1"/>
  <c r="N21" i="73" l="1"/>
  <c r="N20" i="73"/>
  <c r="N18" i="73"/>
  <c r="N16" i="73"/>
  <c r="N14" i="73"/>
  <c r="N13" i="73"/>
  <c r="C19" i="55" l="1"/>
  <c r="L23" i="55"/>
  <c r="E19" i="55" l="1"/>
  <c r="B27" i="76" l="1"/>
  <c r="M25" i="76"/>
  <c r="L25" i="76"/>
  <c r="K25" i="76"/>
  <c r="J25" i="76"/>
  <c r="I25" i="76"/>
  <c r="H25" i="76"/>
  <c r="G25" i="76"/>
  <c r="F25" i="76"/>
  <c r="E25" i="76"/>
  <c r="D25" i="76"/>
  <c r="C25" i="76"/>
  <c r="B25" i="76"/>
  <c r="N25" i="76" s="1"/>
  <c r="N22" i="76"/>
  <c r="M18" i="76"/>
  <c r="L18" i="76"/>
  <c r="K18" i="76"/>
  <c r="J18" i="76"/>
  <c r="I18" i="76"/>
  <c r="H18" i="76"/>
  <c r="G18" i="76"/>
  <c r="F18" i="76"/>
  <c r="E18" i="76"/>
  <c r="D18" i="76"/>
  <c r="C18" i="76"/>
  <c r="B18" i="76"/>
  <c r="N15" i="76"/>
  <c r="N14" i="76"/>
  <c r="N13" i="76"/>
  <c r="N18" i="76" s="1"/>
  <c r="N27" i="76" s="1"/>
  <c r="R10" i="76"/>
  <c r="R9" i="76"/>
  <c r="C9" i="76"/>
  <c r="D9" i="76" s="1"/>
  <c r="S8" i="76"/>
  <c r="R8" i="76"/>
  <c r="N7" i="76" s="1"/>
  <c r="S7" i="76"/>
  <c r="R7" i="76"/>
  <c r="R6" i="76"/>
  <c r="M7" i="76" s="1"/>
  <c r="R5" i="76"/>
  <c r="R4" i="76"/>
  <c r="A3" i="76"/>
  <c r="M23" i="75"/>
  <c r="L23" i="75"/>
  <c r="K23" i="75"/>
  <c r="J23" i="75"/>
  <c r="I23" i="75"/>
  <c r="B23" i="75"/>
  <c r="B20" i="75"/>
  <c r="C16" i="75"/>
  <c r="C20" i="75" s="1"/>
  <c r="C23" i="75" s="1"/>
  <c r="B16" i="75"/>
  <c r="N13" i="75"/>
  <c r="R10" i="75"/>
  <c r="E7" i="75" s="1"/>
  <c r="R9" i="75"/>
  <c r="N9" i="75"/>
  <c r="C9" i="75"/>
  <c r="D9" i="75" s="1"/>
  <c r="S8" i="75"/>
  <c r="R8" i="75"/>
  <c r="N7" i="75" s="1"/>
  <c r="S7" i="75"/>
  <c r="R7" i="75"/>
  <c r="R6" i="75"/>
  <c r="R5" i="75"/>
  <c r="R4" i="75"/>
  <c r="A3" i="75"/>
  <c r="M28" i="74"/>
  <c r="L28" i="74"/>
  <c r="K28" i="74"/>
  <c r="J28" i="74"/>
  <c r="I28" i="74"/>
  <c r="F28" i="74"/>
  <c r="H25" i="74"/>
  <c r="H28" i="74" s="1"/>
  <c r="F25" i="74"/>
  <c r="D25" i="74"/>
  <c r="D28" i="74" s="1"/>
  <c r="B25" i="74"/>
  <c r="M21" i="74"/>
  <c r="L21" i="74"/>
  <c r="K21" i="74"/>
  <c r="J21" i="74"/>
  <c r="I21" i="74"/>
  <c r="H21" i="74"/>
  <c r="G21" i="74"/>
  <c r="G25" i="74" s="1"/>
  <c r="G28" i="74" s="1"/>
  <c r="F21" i="74"/>
  <c r="E21" i="74"/>
  <c r="E25" i="74" s="1"/>
  <c r="E28" i="74" s="1"/>
  <c r="D21" i="74"/>
  <c r="C21" i="74"/>
  <c r="B21" i="74"/>
  <c r="N18" i="74"/>
  <c r="N17" i="74"/>
  <c r="N16" i="74"/>
  <c r="N15" i="74"/>
  <c r="N14" i="74"/>
  <c r="N21" i="74" s="1"/>
  <c r="N13" i="74"/>
  <c r="R10" i="74"/>
  <c r="B7" i="74" s="1"/>
  <c r="R9" i="74"/>
  <c r="N9" i="74"/>
  <c r="D9" i="74"/>
  <c r="C9" i="74"/>
  <c r="S8" i="74"/>
  <c r="R8" i="74" s="1"/>
  <c r="N7" i="74" s="1"/>
  <c r="S7" i="74"/>
  <c r="R7" i="74" s="1"/>
  <c r="R6" i="74"/>
  <c r="R5" i="74"/>
  <c r="R4" i="74"/>
  <c r="A3" i="74" s="1"/>
  <c r="M30" i="73"/>
  <c r="L30" i="73"/>
  <c r="K30" i="73"/>
  <c r="J30" i="73"/>
  <c r="I30" i="73"/>
  <c r="G30" i="73"/>
  <c r="G27" i="73"/>
  <c r="E27" i="73"/>
  <c r="E30" i="73" s="1"/>
  <c r="C27" i="73"/>
  <c r="C30" i="73" s="1"/>
  <c r="M23" i="73"/>
  <c r="L23" i="73"/>
  <c r="K23" i="73"/>
  <c r="J23" i="73"/>
  <c r="I23" i="73"/>
  <c r="H23" i="73"/>
  <c r="H27" i="73" s="1"/>
  <c r="H30" i="73" s="1"/>
  <c r="G23" i="73"/>
  <c r="F23" i="73"/>
  <c r="F27" i="73" s="1"/>
  <c r="F30" i="73" s="1"/>
  <c r="E23" i="73"/>
  <c r="D23" i="73"/>
  <c r="D27" i="73" s="1"/>
  <c r="D30" i="73" s="1"/>
  <c r="C23" i="73"/>
  <c r="B23" i="73"/>
  <c r="N19" i="73"/>
  <c r="N17" i="73"/>
  <c r="N15" i="73"/>
  <c r="R10" i="73"/>
  <c r="B7" i="73" s="1"/>
  <c r="R9" i="73"/>
  <c r="N9" i="73"/>
  <c r="D9" i="73"/>
  <c r="C9" i="73"/>
  <c r="S8" i="73"/>
  <c r="R8" i="73" s="1"/>
  <c r="S7" i="73"/>
  <c r="R7" i="73" s="1"/>
  <c r="N7" i="73"/>
  <c r="R6" i="73"/>
  <c r="R5" i="73"/>
  <c r="R4" i="73"/>
  <c r="A3" i="73" s="1"/>
  <c r="B37" i="72"/>
  <c r="M35" i="72"/>
  <c r="L35" i="72"/>
  <c r="K35" i="72"/>
  <c r="J35" i="72"/>
  <c r="I35" i="72"/>
  <c r="H35" i="72"/>
  <c r="G35" i="72"/>
  <c r="F35" i="72"/>
  <c r="E35" i="72"/>
  <c r="D35" i="72"/>
  <c r="C35" i="72"/>
  <c r="B35" i="72"/>
  <c r="N32" i="72"/>
  <c r="N31" i="72"/>
  <c r="N30" i="72"/>
  <c r="N29" i="72"/>
  <c r="N28" i="72"/>
  <c r="N27" i="72"/>
  <c r="M23" i="72"/>
  <c r="L23" i="72"/>
  <c r="K23" i="72"/>
  <c r="J23" i="72"/>
  <c r="I23" i="72"/>
  <c r="H23" i="72"/>
  <c r="G23" i="72"/>
  <c r="F23" i="72"/>
  <c r="E23" i="72"/>
  <c r="D23" i="72"/>
  <c r="C23" i="72"/>
  <c r="B23" i="72"/>
  <c r="N20" i="72"/>
  <c r="N19" i="72"/>
  <c r="N18" i="72"/>
  <c r="N15" i="72"/>
  <c r="N14" i="72"/>
  <c r="N13" i="72"/>
  <c r="N23" i="72" s="1"/>
  <c r="R10" i="72"/>
  <c r="E7" i="72" s="1"/>
  <c r="R9" i="72"/>
  <c r="N9" i="72"/>
  <c r="C9" i="72"/>
  <c r="S8" i="72"/>
  <c r="R8" i="72"/>
  <c r="N7" i="72" s="1"/>
  <c r="S7" i="72"/>
  <c r="R7" i="72"/>
  <c r="R6" i="72"/>
  <c r="M7" i="72" s="1"/>
  <c r="R5" i="72"/>
  <c r="R4" i="72"/>
  <c r="A3" i="72"/>
  <c r="N31" i="71"/>
  <c r="M31" i="71"/>
  <c r="L31" i="71"/>
  <c r="K31" i="71"/>
  <c r="J31" i="71"/>
  <c r="I31" i="71"/>
  <c r="H31" i="71"/>
  <c r="G31" i="71"/>
  <c r="F31" i="71"/>
  <c r="E31" i="71"/>
  <c r="D31" i="71"/>
  <c r="C31" i="71"/>
  <c r="B31" i="71"/>
  <c r="N28" i="71"/>
  <c r="N27" i="71"/>
  <c r="B23" i="71"/>
  <c r="N17" i="71"/>
  <c r="N16" i="71"/>
  <c r="N15" i="71"/>
  <c r="N14" i="71"/>
  <c r="N13" i="71"/>
  <c r="R10" i="71"/>
  <c r="R9" i="71"/>
  <c r="C9" i="71"/>
  <c r="D9" i="71" s="1"/>
  <c r="E9" i="71" s="1"/>
  <c r="S8" i="71"/>
  <c r="R8" i="71"/>
  <c r="N7" i="71" s="1"/>
  <c r="S7" i="71"/>
  <c r="R7" i="71"/>
  <c r="R6" i="71"/>
  <c r="I7" i="71" s="1"/>
  <c r="R5" i="71"/>
  <c r="R4" i="71"/>
  <c r="A3" i="71"/>
  <c r="B29" i="70"/>
  <c r="M27" i="70"/>
  <c r="L27" i="70"/>
  <c r="K27" i="70"/>
  <c r="J27" i="70"/>
  <c r="I27" i="70"/>
  <c r="H27" i="70"/>
  <c r="G27" i="70"/>
  <c r="F27" i="70"/>
  <c r="E27" i="70"/>
  <c r="D27" i="70"/>
  <c r="C27" i="70"/>
  <c r="B27" i="70"/>
  <c r="N24" i="70"/>
  <c r="N27" i="70" s="1"/>
  <c r="B20" i="70"/>
  <c r="N16" i="70"/>
  <c r="N15" i="70"/>
  <c r="N14" i="70"/>
  <c r="N13" i="70"/>
  <c r="N20" i="70" s="1"/>
  <c r="N29" i="70" s="1"/>
  <c r="S10" i="70"/>
  <c r="R10" i="70" s="1"/>
  <c r="R9" i="70"/>
  <c r="C9" i="70"/>
  <c r="C20" i="70" s="1"/>
  <c r="C29" i="70" s="1"/>
  <c r="S8" i="70"/>
  <c r="R8" i="70"/>
  <c r="N7" i="70" s="1"/>
  <c r="S7" i="70"/>
  <c r="R7" i="70"/>
  <c r="K7" i="70"/>
  <c r="G7" i="70"/>
  <c r="R6" i="70"/>
  <c r="J7" i="70" s="1"/>
  <c r="R5" i="70"/>
  <c r="R4" i="70"/>
  <c r="A3" i="70"/>
  <c r="M7" i="71" l="1"/>
  <c r="J7" i="73"/>
  <c r="H7" i="73"/>
  <c r="D7" i="73"/>
  <c r="N6" i="71"/>
  <c r="D7" i="76"/>
  <c r="E7" i="76"/>
  <c r="J7" i="71"/>
  <c r="G7" i="71"/>
  <c r="M7" i="74"/>
  <c r="J7" i="74"/>
  <c r="F7" i="74"/>
  <c r="C7" i="72"/>
  <c r="L7" i="73"/>
  <c r="G7" i="72"/>
  <c r="N6" i="72"/>
  <c r="K7" i="72"/>
  <c r="E23" i="71"/>
  <c r="E33" i="71" s="1"/>
  <c r="F9" i="71"/>
  <c r="B7" i="70"/>
  <c r="E7" i="70"/>
  <c r="D7" i="70"/>
  <c r="C7" i="70"/>
  <c r="D7" i="71"/>
  <c r="E7" i="71"/>
  <c r="B7" i="71"/>
  <c r="C7" i="71"/>
  <c r="B27" i="73"/>
  <c r="N23" i="73"/>
  <c r="L7" i="75"/>
  <c r="H7" i="75"/>
  <c r="K7" i="75"/>
  <c r="G7" i="75"/>
  <c r="N6" i="75"/>
  <c r="J7" i="75"/>
  <c r="F7" i="75"/>
  <c r="D25" i="75"/>
  <c r="D16" i="75"/>
  <c r="D20" i="75" s="1"/>
  <c r="D23" i="75" s="1"/>
  <c r="N6" i="70"/>
  <c r="H7" i="70"/>
  <c r="L7" i="70"/>
  <c r="D9" i="70"/>
  <c r="C23" i="71"/>
  <c r="C33" i="71" s="1"/>
  <c r="N35" i="72"/>
  <c r="N37" i="72" s="1"/>
  <c r="D30" i="74"/>
  <c r="B28" i="74"/>
  <c r="B30" i="74" s="1"/>
  <c r="E9" i="75"/>
  <c r="I7" i="76"/>
  <c r="I7" i="70"/>
  <c r="M7" i="70"/>
  <c r="D23" i="71"/>
  <c r="D33" i="71" s="1"/>
  <c r="D9" i="72"/>
  <c r="C37" i="72"/>
  <c r="C32" i="73"/>
  <c r="E7" i="73"/>
  <c r="C7" i="73"/>
  <c r="E7" i="74"/>
  <c r="D7" i="74"/>
  <c r="C7" i="74"/>
  <c r="C25" i="74"/>
  <c r="C28" i="74" s="1"/>
  <c r="C30" i="74" s="1"/>
  <c r="I7" i="75"/>
  <c r="B33" i="71"/>
  <c r="F7" i="70"/>
  <c r="L7" i="71"/>
  <c r="H7" i="71"/>
  <c r="F7" i="71"/>
  <c r="K7" i="71"/>
  <c r="L7" i="72"/>
  <c r="H7" i="72"/>
  <c r="J7" i="72"/>
  <c r="F7" i="72"/>
  <c r="I7" i="72"/>
  <c r="D7" i="72"/>
  <c r="B7" i="72"/>
  <c r="M7" i="73"/>
  <c r="I7" i="73"/>
  <c r="K7" i="73"/>
  <c r="G7" i="73"/>
  <c r="N6" i="73"/>
  <c r="F7" i="73"/>
  <c r="E9" i="73"/>
  <c r="D32" i="73"/>
  <c r="M7" i="75"/>
  <c r="D7" i="75"/>
  <c r="C7" i="75"/>
  <c r="B7" i="75"/>
  <c r="L7" i="76"/>
  <c r="H7" i="76"/>
  <c r="K7" i="76"/>
  <c r="G7" i="76"/>
  <c r="N6" i="76"/>
  <c r="J7" i="76"/>
  <c r="F7" i="76"/>
  <c r="E9" i="76"/>
  <c r="D27" i="76"/>
  <c r="N6" i="74"/>
  <c r="G7" i="74"/>
  <c r="K7" i="74"/>
  <c r="B25" i="75"/>
  <c r="B7" i="76"/>
  <c r="C27" i="76"/>
  <c r="H7" i="74"/>
  <c r="L7" i="74"/>
  <c r="C25" i="75"/>
  <c r="C7" i="76"/>
  <c r="I7" i="74"/>
  <c r="E9" i="74"/>
  <c r="G41" i="30"/>
  <c r="C41" i="30"/>
  <c r="G40" i="30"/>
  <c r="F40" i="30"/>
  <c r="F41" i="30" s="1"/>
  <c r="E40" i="30"/>
  <c r="E41" i="30" s="1"/>
  <c r="D40" i="30"/>
  <c r="C40" i="30"/>
  <c r="H39" i="30"/>
  <c r="H40" i="30" s="1"/>
  <c r="G38" i="30"/>
  <c r="F38" i="30"/>
  <c r="E38" i="30"/>
  <c r="D38" i="30"/>
  <c r="D41" i="30" s="1"/>
  <c r="C38" i="30"/>
  <c r="H37" i="30"/>
  <c r="H36" i="30"/>
  <c r="H35" i="30"/>
  <c r="H38" i="30" s="1"/>
  <c r="H34" i="30"/>
  <c r="G33" i="30"/>
  <c r="F33" i="30"/>
  <c r="E33" i="30"/>
  <c r="D33" i="30"/>
  <c r="C33" i="30"/>
  <c r="H32" i="30"/>
  <c r="H33" i="30" s="1"/>
  <c r="G31" i="30"/>
  <c r="F31" i="30"/>
  <c r="E31" i="30"/>
  <c r="D31" i="30"/>
  <c r="C31" i="30"/>
  <c r="H30" i="30"/>
  <c r="H29" i="30"/>
  <c r="H28" i="30"/>
  <c r="H31" i="30" s="1"/>
  <c r="G27" i="30"/>
  <c r="F27" i="30"/>
  <c r="E27" i="30"/>
  <c r="D27" i="30"/>
  <c r="C27" i="30"/>
  <c r="H26" i="30"/>
  <c r="H25" i="30"/>
  <c r="H24" i="30"/>
  <c r="H23" i="30"/>
  <c r="H22" i="30"/>
  <c r="H21" i="30"/>
  <c r="H27" i="30" s="1"/>
  <c r="G20" i="30"/>
  <c r="F20" i="30"/>
  <c r="E20" i="30"/>
  <c r="D20" i="30"/>
  <c r="C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H20" i="30" s="1"/>
  <c r="H7" i="30"/>
  <c r="G7" i="30"/>
  <c r="F7" i="30"/>
  <c r="E7" i="30"/>
  <c r="D7" i="30"/>
  <c r="C7" i="30"/>
  <c r="H6" i="30"/>
  <c r="F9" i="74" l="1"/>
  <c r="E30" i="74"/>
  <c r="E16" i="75"/>
  <c r="F9" i="75"/>
  <c r="E27" i="76"/>
  <c r="F9" i="76"/>
  <c r="E32" i="73"/>
  <c r="F9" i="73"/>
  <c r="N25" i="74"/>
  <c r="N28" i="74" s="1"/>
  <c r="N30" i="74" s="1"/>
  <c r="F23" i="71"/>
  <c r="F33" i="71" s="1"/>
  <c r="G9" i="71"/>
  <c r="D37" i="72"/>
  <c r="E9" i="72"/>
  <c r="E9" i="70"/>
  <c r="D20" i="70"/>
  <c r="D29" i="70" s="1"/>
  <c r="B30" i="73"/>
  <c r="B32" i="73" s="1"/>
  <c r="N27" i="73"/>
  <c r="N30" i="73" s="1"/>
  <c r="N32" i="73" s="1"/>
  <c r="H41" i="30"/>
  <c r="F16" i="75" l="1"/>
  <c r="F20" i="75" s="1"/>
  <c r="F23" i="75" s="1"/>
  <c r="G9" i="75"/>
  <c r="F9" i="70"/>
  <c r="E20" i="70"/>
  <c r="E29" i="70" s="1"/>
  <c r="F27" i="76"/>
  <c r="G9" i="76"/>
  <c r="E20" i="75"/>
  <c r="H9" i="71"/>
  <c r="G23" i="71"/>
  <c r="G33" i="71" s="1"/>
  <c r="E37" i="72"/>
  <c r="F9" i="72"/>
  <c r="G9" i="73"/>
  <c r="F32" i="73"/>
  <c r="F30" i="74"/>
  <c r="G9" i="74"/>
  <c r="D19" i="55"/>
  <c r="F19" i="55"/>
  <c r="G19" i="55"/>
  <c r="H19" i="55"/>
  <c r="I19" i="55"/>
  <c r="J19" i="55"/>
  <c r="K19" i="55"/>
  <c r="F37" i="72" l="1"/>
  <c r="G9" i="72"/>
  <c r="E23" i="75"/>
  <c r="E25" i="75" s="1"/>
  <c r="F20" i="70"/>
  <c r="F29" i="70" s="1"/>
  <c r="G9" i="70"/>
  <c r="H9" i="76"/>
  <c r="G27" i="76"/>
  <c r="F25" i="75"/>
  <c r="G30" i="74"/>
  <c r="H9" i="74"/>
  <c r="G32" i="73"/>
  <c r="H9" i="73"/>
  <c r="I9" i="71"/>
  <c r="H23" i="71"/>
  <c r="H33" i="71" s="1"/>
  <c r="H9" i="75"/>
  <c r="G16" i="75"/>
  <c r="G20" i="75" s="1"/>
  <c r="G23" i="75" s="1"/>
  <c r="G9" i="26"/>
  <c r="G10" i="26"/>
  <c r="G11" i="26"/>
  <c r="G12" i="26"/>
  <c r="G13" i="26"/>
  <c r="G14" i="26"/>
  <c r="G15" i="26"/>
  <c r="G17" i="26"/>
  <c r="G18" i="26"/>
  <c r="G19" i="26"/>
  <c r="G20" i="26"/>
  <c r="G21" i="26"/>
  <c r="G22" i="26"/>
  <c r="G8" i="26"/>
  <c r="A9" i="26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H30" i="74" l="1"/>
  <c r="I9" i="74"/>
  <c r="I9" i="76"/>
  <c r="H27" i="76"/>
  <c r="J9" i="71"/>
  <c r="I23" i="71"/>
  <c r="I33" i="71" s="1"/>
  <c r="G20" i="70"/>
  <c r="G29" i="70" s="1"/>
  <c r="H9" i="70"/>
  <c r="H16" i="75"/>
  <c r="H20" i="75" s="1"/>
  <c r="I9" i="75"/>
  <c r="G25" i="75"/>
  <c r="I9" i="73"/>
  <c r="H32" i="73"/>
  <c r="H9" i="72"/>
  <c r="G37" i="72"/>
  <c r="AE22" i="55"/>
  <c r="AE21" i="55"/>
  <c r="AE20" i="55"/>
  <c r="AD19" i="55"/>
  <c r="AD23" i="55" s="1"/>
  <c r="AC19" i="55"/>
  <c r="AC23" i="55" s="1"/>
  <c r="AB19" i="55"/>
  <c r="AB23" i="55" s="1"/>
  <c r="AA19" i="55"/>
  <c r="AA23" i="55" s="1"/>
  <c r="Z19" i="55"/>
  <c r="Z23" i="55" s="1"/>
  <c r="Y19" i="55"/>
  <c r="Y23" i="55" s="1"/>
  <c r="X19" i="55"/>
  <c r="X23" i="55" s="1"/>
  <c r="W19" i="55"/>
  <c r="W23" i="55" s="1"/>
  <c r="V19" i="55"/>
  <c r="V23" i="55" s="1"/>
  <c r="U19" i="55"/>
  <c r="U23" i="55" s="1"/>
  <c r="T19" i="55"/>
  <c r="T23" i="55" s="1"/>
  <c r="S19" i="55"/>
  <c r="S23" i="55" s="1"/>
  <c r="R19" i="55"/>
  <c r="R23" i="55" s="1"/>
  <c r="Q19" i="55"/>
  <c r="Q23" i="55" s="1"/>
  <c r="P19" i="55"/>
  <c r="P23" i="55" s="1"/>
  <c r="O19" i="55"/>
  <c r="O23" i="55" s="1"/>
  <c r="N19" i="55"/>
  <c r="N23" i="55" s="1"/>
  <c r="M19" i="55"/>
  <c r="M23" i="55" s="1"/>
  <c r="L19" i="55"/>
  <c r="K23" i="55"/>
  <c r="J23" i="55"/>
  <c r="I23" i="55"/>
  <c r="H23" i="55"/>
  <c r="G23" i="55"/>
  <c r="F23" i="55"/>
  <c r="E23" i="55"/>
  <c r="D23" i="55"/>
  <c r="C23" i="55"/>
  <c r="AE18" i="55"/>
  <c r="AE17" i="55"/>
  <c r="AE16" i="55"/>
  <c r="AE15" i="55"/>
  <c r="AE14" i="55"/>
  <c r="AE13" i="55"/>
  <c r="AE12" i="55"/>
  <c r="AE11" i="55"/>
  <c r="AE10" i="55"/>
  <c r="AE9" i="55"/>
  <c r="AE8" i="55"/>
  <c r="AE7" i="55"/>
  <c r="AE6" i="55"/>
  <c r="J23" i="71" l="1"/>
  <c r="J33" i="71" s="1"/>
  <c r="K9" i="71"/>
  <c r="H37" i="72"/>
  <c r="I9" i="72"/>
  <c r="I16" i="75"/>
  <c r="J9" i="75"/>
  <c r="I25" i="75"/>
  <c r="I9" i="70"/>
  <c r="H20" i="70"/>
  <c r="H29" i="70" s="1"/>
  <c r="H23" i="75"/>
  <c r="N20" i="75"/>
  <c r="N23" i="75" s="1"/>
  <c r="I27" i="76"/>
  <c r="J9" i="76"/>
  <c r="I32" i="73"/>
  <c r="J9" i="73"/>
  <c r="H25" i="75"/>
  <c r="J9" i="74"/>
  <c r="I30" i="74"/>
  <c r="AE19" i="55"/>
  <c r="AE23" i="55" s="1"/>
  <c r="J9" i="70" l="1"/>
  <c r="I20" i="70"/>
  <c r="I29" i="70" s="1"/>
  <c r="I37" i="72"/>
  <c r="J9" i="72"/>
  <c r="K9" i="73"/>
  <c r="J32" i="73"/>
  <c r="J16" i="75"/>
  <c r="J25" i="75" s="1"/>
  <c r="K9" i="75"/>
  <c r="L9" i="71"/>
  <c r="K23" i="71"/>
  <c r="K33" i="71" s="1"/>
  <c r="J30" i="74"/>
  <c r="K9" i="74"/>
  <c r="J27" i="76"/>
  <c r="K9" i="76"/>
  <c r="C9" i="18"/>
  <c r="L9" i="76" l="1"/>
  <c r="K27" i="76"/>
  <c r="K30" i="74"/>
  <c r="L9" i="74"/>
  <c r="K32" i="73"/>
  <c r="L9" i="73"/>
  <c r="L9" i="75"/>
  <c r="K16" i="75"/>
  <c r="K25" i="75" s="1"/>
  <c r="J37" i="72"/>
  <c r="K9" i="72"/>
  <c r="L23" i="71"/>
  <c r="L33" i="71" s="1"/>
  <c r="M9" i="71"/>
  <c r="M23" i="71" s="1"/>
  <c r="M33" i="71" s="1"/>
  <c r="N9" i="71" s="1"/>
  <c r="N23" i="71" s="1"/>
  <c r="N33" i="71" s="1"/>
  <c r="J20" i="70"/>
  <c r="J29" i="70" s="1"/>
  <c r="K9" i="70"/>
  <c r="D8" i="11"/>
  <c r="D5" i="11"/>
  <c r="G7" i="11"/>
  <c r="G29" i="11"/>
  <c r="G53" i="11"/>
  <c r="G56" i="11" s="1"/>
  <c r="G34" i="11"/>
  <c r="G43" i="11"/>
  <c r="G21" i="11"/>
  <c r="L30" i="74" l="1"/>
  <c r="M9" i="74"/>
  <c r="M30" i="74" s="1"/>
  <c r="K20" i="70"/>
  <c r="K29" i="70" s="1"/>
  <c r="L9" i="70"/>
  <c r="L9" i="72"/>
  <c r="K37" i="72"/>
  <c r="L25" i="75"/>
  <c r="L16" i="75"/>
  <c r="M9" i="75"/>
  <c r="M9" i="73"/>
  <c r="M32" i="73" s="1"/>
  <c r="L32" i="73"/>
  <c r="M9" i="76"/>
  <c r="L27" i="76"/>
  <c r="G46" i="11"/>
  <c r="G48" i="11" s="1"/>
  <c r="M16" i="75" l="1"/>
  <c r="N16" i="75" s="1"/>
  <c r="N25" i="75" s="1"/>
  <c r="M27" i="76"/>
  <c r="N9" i="76"/>
  <c r="M9" i="70"/>
  <c r="M20" i="70" s="1"/>
  <c r="M29" i="70" s="1"/>
  <c r="N9" i="70" s="1"/>
  <c r="L20" i="70"/>
  <c r="L29" i="70" s="1"/>
  <c r="L37" i="72"/>
  <c r="M9" i="72"/>
  <c r="M37" i="72" s="1"/>
  <c r="K12" i="14"/>
  <c r="K14" i="14"/>
  <c r="K16" i="14"/>
  <c r="K18" i="14"/>
  <c r="K20" i="14"/>
  <c r="K49" i="14"/>
  <c r="K55" i="14"/>
  <c r="M25" i="75" l="1"/>
  <c r="G21" i="18"/>
  <c r="G23" i="18" s="1"/>
  <c r="I21" i="18"/>
  <c r="I23" i="18" s="1"/>
  <c r="I28" i="18"/>
  <c r="I30" i="18" s="1"/>
  <c r="G28" i="18"/>
  <c r="G30" i="18" s="1"/>
  <c r="D20" i="18"/>
  <c r="M20" i="18" l="1"/>
  <c r="D39" i="11"/>
  <c r="D40" i="11"/>
  <c r="D41" i="11"/>
  <c r="D44" i="11"/>
  <c r="D38" i="11"/>
  <c r="D35" i="11"/>
  <c r="D31" i="11"/>
  <c r="D32" i="11"/>
  <c r="D30" i="11"/>
  <c r="D23" i="11"/>
  <c r="D24" i="11"/>
  <c r="D25" i="11"/>
  <c r="D26" i="11"/>
  <c r="D27" i="11"/>
  <c r="D22" i="11"/>
  <c r="D9" i="11"/>
  <c r="D10" i="11"/>
  <c r="D11" i="11"/>
  <c r="D12" i="11"/>
  <c r="D13" i="11"/>
  <c r="D14" i="11"/>
  <c r="D15" i="11"/>
  <c r="D16" i="11"/>
  <c r="D17" i="11"/>
  <c r="D18" i="11"/>
  <c r="D19" i="11"/>
  <c r="M50" i="11" l="1"/>
  <c r="M49" i="11"/>
  <c r="M47" i="11"/>
  <c r="M45" i="11"/>
  <c r="M42" i="11"/>
  <c r="M36" i="11"/>
  <c r="M33" i="11"/>
  <c r="M28" i="11"/>
  <c r="M20" i="11"/>
  <c r="M6" i="11"/>
  <c r="L28" i="18" l="1"/>
  <c r="C48" i="14" l="1"/>
  <c r="C9" i="19" l="1"/>
  <c r="C28" i="18" l="1"/>
  <c r="C15" i="19" l="1"/>
  <c r="C7" i="11" l="1"/>
  <c r="C21" i="11"/>
  <c r="C29" i="11"/>
  <c r="C34" i="11"/>
  <c r="C37" i="11"/>
  <c r="C43" i="11"/>
  <c r="C46" i="11"/>
  <c r="C53" i="11"/>
  <c r="C56" i="11" s="1"/>
  <c r="C48" i="11" l="1"/>
  <c r="C30" i="18"/>
  <c r="L30" i="18"/>
  <c r="M26" i="18"/>
  <c r="M25" i="18"/>
  <c r="M24" i="18"/>
  <c r="M22" i="18"/>
  <c r="C21" i="18"/>
  <c r="C23" i="18" s="1"/>
  <c r="C54" i="14"/>
  <c r="C17" i="14"/>
  <c r="C13" i="14"/>
  <c r="D43" i="11" l="1"/>
  <c r="D46" i="11"/>
  <c r="D7" i="11"/>
  <c r="D21" i="11"/>
  <c r="D34" i="11"/>
  <c r="D37" i="11"/>
  <c r="D29" i="11"/>
  <c r="C19" i="14"/>
  <c r="C56" i="14" s="1"/>
  <c r="D9" i="18" l="1"/>
  <c r="D19" i="18"/>
  <c r="D17" i="18"/>
  <c r="D12" i="18"/>
  <c r="D18" i="18"/>
  <c r="D15" i="18"/>
  <c r="M15" i="18" s="1"/>
  <c r="D10" i="18"/>
  <c r="D13" i="18"/>
  <c r="D14" i="18"/>
  <c r="M14" i="18" s="1"/>
  <c r="D11" i="18"/>
  <c r="D16" i="18"/>
  <c r="D48" i="11"/>
  <c r="M11" i="18" l="1"/>
  <c r="M17" i="18"/>
  <c r="M13" i="18"/>
  <c r="M16" i="18"/>
  <c r="M9" i="18"/>
  <c r="M18" i="18"/>
  <c r="M10" i="18"/>
  <c r="M12" i="18"/>
  <c r="M19" i="18"/>
  <c r="D8" i="18" l="1"/>
  <c r="D27" i="18"/>
  <c r="D28" i="18" s="1"/>
  <c r="D29" i="18"/>
  <c r="M29" i="18" s="1"/>
  <c r="D21" i="18" l="1"/>
  <c r="M8" i="18"/>
  <c r="M27" i="18"/>
  <c r="M28" i="18"/>
  <c r="D30" i="18"/>
  <c r="M30" i="18" l="1"/>
  <c r="M21" i="18"/>
  <c r="D23" i="18"/>
  <c r="M23" i="18" s="1"/>
  <c r="J28" i="14" l="1"/>
  <c r="E33" i="17"/>
  <c r="L30" i="17"/>
  <c r="D47" i="14"/>
  <c r="K47" i="14" s="1"/>
  <c r="D43" i="14"/>
  <c r="K43" i="14" s="1"/>
  <c r="I48" i="14"/>
  <c r="F35" i="12"/>
  <c r="L18" i="17"/>
  <c r="N18" i="17" s="1"/>
  <c r="L21" i="12"/>
  <c r="N21" i="12" s="1"/>
  <c r="M40" i="12"/>
  <c r="M5" i="11"/>
  <c r="I7" i="11"/>
  <c r="M7" i="11" s="1"/>
  <c r="L5" i="11"/>
  <c r="L7" i="11" s="1"/>
  <c r="D45" i="14"/>
  <c r="K45" i="14" s="1"/>
  <c r="H22" i="17"/>
  <c r="D9" i="17"/>
  <c r="M9" i="11"/>
  <c r="L9" i="11"/>
  <c r="J26" i="14"/>
  <c r="L19" i="12"/>
  <c r="N19" i="12" s="1"/>
  <c r="D9" i="14"/>
  <c r="K9" i="14" s="1"/>
  <c r="H42" i="17"/>
  <c r="I33" i="12"/>
  <c r="J29" i="12"/>
  <c r="E22" i="17"/>
  <c r="L10" i="17"/>
  <c r="L8" i="17"/>
  <c r="L9" i="17" s="1"/>
  <c r="E9" i="17"/>
  <c r="M9" i="17"/>
  <c r="G29" i="17"/>
  <c r="I40" i="12"/>
  <c r="M22" i="12"/>
  <c r="K35" i="17"/>
  <c r="J29" i="17"/>
  <c r="K46" i="11"/>
  <c r="C9" i="12"/>
  <c r="L13" i="17"/>
  <c r="N13" i="17" s="1"/>
  <c r="L15" i="11"/>
  <c r="M15" i="11"/>
  <c r="C29" i="17"/>
  <c r="L27" i="12"/>
  <c r="N27" i="12" s="1"/>
  <c r="J29" i="14"/>
  <c r="F33" i="17"/>
  <c r="F40" i="12"/>
  <c r="D23" i="14"/>
  <c r="K23" i="14" s="1"/>
  <c r="J22" i="14"/>
  <c r="M22" i="17"/>
  <c r="I54" i="14"/>
  <c r="F42" i="12"/>
  <c r="D55" i="11"/>
  <c r="M55" i="11" s="1"/>
  <c r="L55" i="11"/>
  <c r="C35" i="17"/>
  <c r="L15" i="12"/>
  <c r="N15" i="12" s="1"/>
  <c r="H13" i="14"/>
  <c r="I22" i="12"/>
  <c r="M42" i="17"/>
  <c r="F29" i="17"/>
  <c r="L28" i="17"/>
  <c r="N28" i="17" s="1"/>
  <c r="J35" i="14"/>
  <c r="L37" i="17"/>
  <c r="N37" i="17" s="1"/>
  <c r="J33" i="12"/>
  <c r="L19" i="17"/>
  <c r="N19" i="17" s="1"/>
  <c r="J11" i="14"/>
  <c r="D28" i="14"/>
  <c r="K28" i="14" s="1"/>
  <c r="F9" i="17"/>
  <c r="L13" i="12"/>
  <c r="N13" i="12" s="1"/>
  <c r="D11" i="14"/>
  <c r="K11" i="14" s="1"/>
  <c r="L28" i="12"/>
  <c r="N28" i="12" s="1"/>
  <c r="G35" i="12"/>
  <c r="C40" i="17"/>
  <c r="K42" i="12"/>
  <c r="L11" i="12"/>
  <c r="N11" i="12" s="1"/>
  <c r="H9" i="17"/>
  <c r="D42" i="14"/>
  <c r="K42" i="14" s="1"/>
  <c r="L35" i="11"/>
  <c r="L37" i="11" s="1"/>
  <c r="M35" i="11"/>
  <c r="I37" i="11"/>
  <c r="M37" i="11" s="1"/>
  <c r="C22" i="12"/>
  <c r="G35" i="17"/>
  <c r="D34" i="14"/>
  <c r="K34" i="14" s="1"/>
  <c r="G29" i="12"/>
  <c r="J9" i="14"/>
  <c r="C9" i="17"/>
  <c r="G42" i="17"/>
  <c r="J42" i="14"/>
  <c r="I29" i="17"/>
  <c r="L11" i="11"/>
  <c r="M11" i="11"/>
  <c r="J10" i="14"/>
  <c r="L54" i="11"/>
  <c r="D54" i="11"/>
  <c r="M54" i="11" s="1"/>
  <c r="G40" i="12"/>
  <c r="E35" i="12"/>
  <c r="L34" i="12"/>
  <c r="L35" i="12" s="1"/>
  <c r="C35" i="12"/>
  <c r="J37" i="11"/>
  <c r="J29" i="11"/>
  <c r="F33" i="12"/>
  <c r="L19" i="11"/>
  <c r="M19" i="11"/>
  <c r="L15" i="17"/>
  <c r="N15" i="17" s="1"/>
  <c r="M40" i="17"/>
  <c r="L39" i="17"/>
  <c r="N39" i="17" s="1"/>
  <c r="K22" i="12"/>
  <c r="D40" i="14"/>
  <c r="K40" i="14" s="1"/>
  <c r="K43" i="11"/>
  <c r="D41" i="14"/>
  <c r="K41" i="14" s="1"/>
  <c r="I34" i="11"/>
  <c r="M34" i="11" s="1"/>
  <c r="L30" i="11"/>
  <c r="M30" i="11"/>
  <c r="I40" i="17"/>
  <c r="J33" i="14"/>
  <c r="L25" i="12"/>
  <c r="N25" i="12" s="1"/>
  <c r="L23" i="12"/>
  <c r="N23" i="12" s="1"/>
  <c r="E29" i="12"/>
  <c r="D30" i="14"/>
  <c r="K30" i="14" s="1"/>
  <c r="D35" i="14"/>
  <c r="K35" i="14" s="1"/>
  <c r="J37" i="14"/>
  <c r="D24" i="14"/>
  <c r="K24" i="14" s="1"/>
  <c r="F40" i="17"/>
  <c r="L17" i="11"/>
  <c r="M17" i="11"/>
  <c r="E35" i="17"/>
  <c r="L34" i="17"/>
  <c r="L35" i="17" s="1"/>
  <c r="M10" i="11"/>
  <c r="L10" i="11"/>
  <c r="I43" i="11"/>
  <c r="L38" i="11"/>
  <c r="M38" i="11"/>
  <c r="I9" i="12"/>
  <c r="E33" i="12"/>
  <c r="L30" i="12"/>
  <c r="D35" i="17"/>
  <c r="M40" i="11"/>
  <c r="L40" i="11"/>
  <c r="C42" i="17"/>
  <c r="D51" i="14"/>
  <c r="K51" i="14" s="1"/>
  <c r="D22" i="12"/>
  <c r="L31" i="12"/>
  <c r="N31" i="12" s="1"/>
  <c r="J52" i="14"/>
  <c r="L24" i="11"/>
  <c r="M24" i="11"/>
  <c r="K29" i="17"/>
  <c r="F29" i="12"/>
  <c r="H29" i="17"/>
  <c r="J43" i="14"/>
  <c r="D44" i="14"/>
  <c r="K44" i="14" s="1"/>
  <c r="E40" i="12"/>
  <c r="L36" i="12"/>
  <c r="M33" i="17"/>
  <c r="J46" i="11"/>
  <c r="L14" i="17"/>
  <c r="N14" i="17" s="1"/>
  <c r="I53" i="11"/>
  <c r="L51" i="11"/>
  <c r="D51" i="11"/>
  <c r="M51" i="11" s="1"/>
  <c r="I35" i="17"/>
  <c r="D42" i="17"/>
  <c r="L20" i="12"/>
  <c r="N20" i="12" s="1"/>
  <c r="G9" i="12"/>
  <c r="M8" i="11"/>
  <c r="I21" i="11"/>
  <c r="M21" i="11" s="1"/>
  <c r="L8" i="11"/>
  <c r="D32" i="14"/>
  <c r="K32" i="14" s="1"/>
  <c r="J36" i="14"/>
  <c r="L26" i="12"/>
  <c r="N26" i="12" s="1"/>
  <c r="G9" i="17"/>
  <c r="K22" i="17"/>
  <c r="H40" i="12"/>
  <c r="K35" i="12"/>
  <c r="J41" i="14"/>
  <c r="D15" i="14"/>
  <c r="D17" i="14" s="1"/>
  <c r="F17" i="14"/>
  <c r="M12" i="11"/>
  <c r="L12" i="11"/>
  <c r="L23" i="11"/>
  <c r="M23" i="11"/>
  <c r="L24" i="17"/>
  <c r="N24" i="17" s="1"/>
  <c r="J45" i="14"/>
  <c r="M26" i="11"/>
  <c r="L26" i="11"/>
  <c r="M22" i="11"/>
  <c r="I29" i="11"/>
  <c r="M29" i="11" s="1"/>
  <c r="L22" i="11"/>
  <c r="D39" i="14"/>
  <c r="K39" i="14" s="1"/>
  <c r="K40" i="12"/>
  <c r="H35" i="17"/>
  <c r="L18" i="12"/>
  <c r="N18" i="12" s="1"/>
  <c r="G40" i="17"/>
  <c r="I46" i="11"/>
  <c r="M46" i="11" s="1"/>
  <c r="L44" i="11"/>
  <c r="L46" i="11" s="1"/>
  <c r="M44" i="11"/>
  <c r="C42" i="12"/>
  <c r="L37" i="12"/>
  <c r="N37" i="12" s="1"/>
  <c r="I17" i="14"/>
  <c r="D42" i="12"/>
  <c r="D40" i="12"/>
  <c r="M29" i="17"/>
  <c r="D33" i="14"/>
  <c r="K33" i="14" s="1"/>
  <c r="L41" i="11"/>
  <c r="M41" i="11"/>
  <c r="M9" i="12"/>
  <c r="F42" i="17"/>
  <c r="K53" i="11"/>
  <c r="K56" i="11" s="1"/>
  <c r="K9" i="17"/>
  <c r="J24" i="14"/>
  <c r="D26" i="14"/>
  <c r="K26" i="14" s="1"/>
  <c r="D22" i="14"/>
  <c r="K22" i="14" s="1"/>
  <c r="H22" i="12"/>
  <c r="L32" i="17"/>
  <c r="N32" i="17" s="1"/>
  <c r="J53" i="11"/>
  <c r="J56" i="11" s="1"/>
  <c r="G42" i="12"/>
  <c r="K40" i="17"/>
  <c r="J50" i="14"/>
  <c r="G54" i="14"/>
  <c r="J38" i="14"/>
  <c r="H9" i="12"/>
  <c r="J33" i="17"/>
  <c r="M35" i="17"/>
  <c r="J40" i="17"/>
  <c r="L12" i="17"/>
  <c r="N12" i="17" s="1"/>
  <c r="J34" i="14"/>
  <c r="C40" i="12"/>
  <c r="J47" i="14"/>
  <c r="I42" i="17"/>
  <c r="K21" i="14"/>
  <c r="J21" i="14"/>
  <c r="G48" i="14"/>
  <c r="M18" i="11"/>
  <c r="L18" i="11"/>
  <c r="L27" i="17"/>
  <c r="N27" i="17" s="1"/>
  <c r="M42" i="12"/>
  <c r="F54" i="14"/>
  <c r="D50" i="14"/>
  <c r="K50" i="14" s="1"/>
  <c r="J39" i="14"/>
  <c r="D8" i="14"/>
  <c r="F13" i="14"/>
  <c r="L24" i="12"/>
  <c r="N24" i="12" s="1"/>
  <c r="K34" i="11"/>
  <c r="M33" i="12"/>
  <c r="C29" i="12"/>
  <c r="D31" i="14"/>
  <c r="K31" i="14" s="1"/>
  <c r="J42" i="17"/>
  <c r="M31" i="11"/>
  <c r="L31" i="11"/>
  <c r="I35" i="12"/>
  <c r="K28" i="18"/>
  <c r="K30" i="18" s="1"/>
  <c r="K37" i="11"/>
  <c r="I13" i="14"/>
  <c r="E22" i="12"/>
  <c r="L10" i="12"/>
  <c r="L16" i="12"/>
  <c r="N16" i="12" s="1"/>
  <c r="L25" i="17"/>
  <c r="N25" i="17" s="1"/>
  <c r="G22" i="12"/>
  <c r="L38" i="12"/>
  <c r="N38" i="12" s="1"/>
  <c r="I33" i="17"/>
  <c r="L16" i="11"/>
  <c r="M16" i="11"/>
  <c r="L26" i="17"/>
  <c r="N26" i="17" s="1"/>
  <c r="L32" i="11"/>
  <c r="M32" i="11"/>
  <c r="J42" i="12"/>
  <c r="J9" i="17"/>
  <c r="L31" i="17"/>
  <c r="N31" i="17" s="1"/>
  <c r="L17" i="12"/>
  <c r="N17" i="12" s="1"/>
  <c r="N30" i="17"/>
  <c r="C33" i="17"/>
  <c r="H33" i="17"/>
  <c r="L14" i="11"/>
  <c r="M14" i="11"/>
  <c r="L11" i="17"/>
  <c r="N11" i="17" s="1"/>
  <c r="J31" i="14"/>
  <c r="J43" i="11"/>
  <c r="K33" i="17"/>
  <c r="H35" i="12"/>
  <c r="D21" i="14"/>
  <c r="F48" i="14"/>
  <c r="K15" i="14"/>
  <c r="J15" i="14"/>
  <c r="J17" i="14" s="1"/>
  <c r="G17" i="14"/>
  <c r="J35" i="17"/>
  <c r="J7" i="11"/>
  <c r="D29" i="17"/>
  <c r="C22" i="17"/>
  <c r="N10" i="17"/>
  <c r="L12" i="12"/>
  <c r="N12" i="12" s="1"/>
  <c r="J21" i="11"/>
  <c r="K29" i="11"/>
  <c r="D9" i="12"/>
  <c r="M25" i="11"/>
  <c r="L25" i="11"/>
  <c r="H48" i="14"/>
  <c r="D38" i="14"/>
  <c r="K38" i="14" s="1"/>
  <c r="F22" i="17"/>
  <c r="D37" i="14"/>
  <c r="K37" i="14" s="1"/>
  <c r="L27" i="11"/>
  <c r="M27" i="11"/>
  <c r="I42" i="12"/>
  <c r="H40" i="17"/>
  <c r="J35" i="12"/>
  <c r="D53" i="14"/>
  <c r="K53" i="14" s="1"/>
  <c r="D27" i="14"/>
  <c r="K27" i="14" s="1"/>
  <c r="J40" i="14"/>
  <c r="D29" i="12"/>
  <c r="J40" i="12"/>
  <c r="E9" i="12"/>
  <c r="L8" i="12"/>
  <c r="L9" i="12" s="1"/>
  <c r="I29" i="12"/>
  <c r="L21" i="17"/>
  <c r="N21" i="17" s="1"/>
  <c r="F9" i="12"/>
  <c r="J53" i="14"/>
  <c r="L32" i="12"/>
  <c r="N32" i="12" s="1"/>
  <c r="D33" i="12"/>
  <c r="D10" i="14"/>
  <c r="K10" i="14" s="1"/>
  <c r="K21" i="18"/>
  <c r="K23" i="18" s="1"/>
  <c r="J25" i="14"/>
  <c r="K7" i="11"/>
  <c r="L21" i="18"/>
  <c r="L23" i="18" s="1"/>
  <c r="H33" i="12"/>
  <c r="D29" i="14"/>
  <c r="K29" i="14" s="1"/>
  <c r="H42" i="12"/>
  <c r="J46" i="14"/>
  <c r="J22" i="17"/>
  <c r="I9" i="17"/>
  <c r="K33" i="12"/>
  <c r="J51" i="14"/>
  <c r="K21" i="11"/>
  <c r="L14" i="12"/>
  <c r="N14" i="12" s="1"/>
  <c r="E42" i="17"/>
  <c r="L41" i="17"/>
  <c r="L42" i="17" s="1"/>
  <c r="J44" i="14"/>
  <c r="E42" i="12"/>
  <c r="L41" i="12"/>
  <c r="L42" i="12" s="1"/>
  <c r="D40" i="17"/>
  <c r="J34" i="11"/>
  <c r="F22" i="12"/>
  <c r="L23" i="17"/>
  <c r="E29" i="17"/>
  <c r="L17" i="17"/>
  <c r="N17" i="17" s="1"/>
  <c r="J30" i="14"/>
  <c r="L20" i="17"/>
  <c r="N20" i="17" s="1"/>
  <c r="M29" i="12"/>
  <c r="L52" i="11"/>
  <c r="D52" i="11"/>
  <c r="M52" i="11" s="1"/>
  <c r="K29" i="12"/>
  <c r="D36" i="14"/>
  <c r="K36" i="14" s="1"/>
  <c r="I22" i="17"/>
  <c r="J8" i="14"/>
  <c r="G13" i="14"/>
  <c r="K8" i="14"/>
  <c r="J32" i="14"/>
  <c r="E40" i="17"/>
  <c r="L36" i="17"/>
  <c r="F35" i="17"/>
  <c r="G33" i="17"/>
  <c r="G22" i="17"/>
  <c r="L16" i="17"/>
  <c r="N16" i="17" s="1"/>
  <c r="J23" i="14"/>
  <c r="J21" i="18"/>
  <c r="J23" i="18" s="1"/>
  <c r="H17" i="14"/>
  <c r="H19" i="14" s="1"/>
  <c r="K42" i="17"/>
  <c r="J22" i="12"/>
  <c r="D33" i="17"/>
  <c r="J28" i="18"/>
  <c r="J30" i="18" s="1"/>
  <c r="L38" i="17"/>
  <c r="N38" i="17" s="1"/>
  <c r="J27" i="14"/>
  <c r="M35" i="12"/>
  <c r="K9" i="12"/>
  <c r="D25" i="14"/>
  <c r="K25" i="14" s="1"/>
  <c r="J9" i="12"/>
  <c r="L39" i="12"/>
  <c r="N39" i="12" s="1"/>
  <c r="D46" i="14"/>
  <c r="K46" i="14" s="1"/>
  <c r="C33" i="12"/>
  <c r="N30" i="12"/>
  <c r="N33" i="12" s="1"/>
  <c r="H54" i="14"/>
  <c r="H29" i="12"/>
  <c r="G33" i="12"/>
  <c r="D22" i="17"/>
  <c r="D52" i="14"/>
  <c r="K52" i="14" s="1"/>
  <c r="D35" i="12"/>
  <c r="M13" i="11"/>
  <c r="L13" i="11"/>
  <c r="L39" i="11"/>
  <c r="M39" i="11"/>
  <c r="H44" i="17" l="1"/>
  <c r="N8" i="17"/>
  <c r="N33" i="17"/>
  <c r="N29" i="12"/>
  <c r="F19" i="14"/>
  <c r="F56" i="14" s="1"/>
  <c r="N23" i="17"/>
  <c r="L29" i="17"/>
  <c r="J44" i="12"/>
  <c r="J48" i="11"/>
  <c r="I19" i="14"/>
  <c r="I56" i="14" s="1"/>
  <c r="L29" i="11"/>
  <c r="K44" i="12"/>
  <c r="H56" i="14"/>
  <c r="E44" i="17"/>
  <c r="J13" i="14"/>
  <c r="G19" i="14"/>
  <c r="G56" i="14" s="1"/>
  <c r="K17" i="14"/>
  <c r="D48" i="14"/>
  <c r="K48" i="14" s="1"/>
  <c r="J54" i="14"/>
  <c r="L21" i="11"/>
  <c r="M43" i="11"/>
  <c r="I48" i="11"/>
  <c r="M48" i="11" s="1"/>
  <c r="I44" i="17"/>
  <c r="N34" i="12"/>
  <c r="N35" i="12" s="1"/>
  <c r="C44" i="17"/>
  <c r="J19" i="14"/>
  <c r="L22" i="12"/>
  <c r="D13" i="14"/>
  <c r="D19" i="14" s="1"/>
  <c r="J44" i="17"/>
  <c r="K44" i="17"/>
  <c r="D44" i="12"/>
  <c r="N41" i="12"/>
  <c r="I56" i="11"/>
  <c r="L53" i="11"/>
  <c r="L56" i="11" s="1"/>
  <c r="D53" i="11"/>
  <c r="D56" i="11" s="1"/>
  <c r="N36" i="12"/>
  <c r="N40" i="12" s="1"/>
  <c r="L40" i="12"/>
  <c r="L29" i="12"/>
  <c r="K48" i="11"/>
  <c r="M44" i="17"/>
  <c r="I44" i="12"/>
  <c r="L33" i="17"/>
  <c r="J48" i="14"/>
  <c r="C44" i="12"/>
  <c r="N42" i="12"/>
  <c r="G44" i="17"/>
  <c r="H44" i="12"/>
  <c r="E44" i="12"/>
  <c r="N41" i="17"/>
  <c r="L34" i="11"/>
  <c r="N34" i="17"/>
  <c r="L22" i="17"/>
  <c r="M44" i="12"/>
  <c r="D44" i="17"/>
  <c r="N36" i="17"/>
  <c r="L40" i="17"/>
  <c r="N22" i="17"/>
  <c r="D54" i="14"/>
  <c r="K54" i="14"/>
  <c r="G44" i="12"/>
  <c r="L33" i="12"/>
  <c r="L43" i="11"/>
  <c r="F44" i="17"/>
  <c r="N10" i="12"/>
  <c r="N22" i="12" s="1"/>
  <c r="N44" i="12" s="1"/>
  <c r="F44" i="12"/>
  <c r="N8" i="12"/>
  <c r="N9" i="12" s="1"/>
  <c r="N42" i="17" l="1"/>
  <c r="N29" i="17"/>
  <c r="L44" i="12"/>
  <c r="K13" i="14"/>
  <c r="N9" i="17"/>
  <c r="N40" i="17"/>
  <c r="N35" i="17"/>
  <c r="L44" i="17"/>
  <c r="L48" i="11"/>
  <c r="N44" i="17"/>
  <c r="M56" i="11"/>
  <c r="D56" i="14"/>
  <c r="K56" i="14" s="1"/>
  <c r="M53" i="11"/>
  <c r="K19" i="14"/>
  <c r="J56" i="14"/>
</calcChain>
</file>

<file path=xl/sharedStrings.xml><?xml version="1.0" encoding="utf-8"?>
<sst xmlns="http://schemas.openxmlformats.org/spreadsheetml/2006/main" count="856" uniqueCount="424">
  <si>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</si>
  <si>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</si>
  <si>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</si>
  <si>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</si>
  <si>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</si>
  <si>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</si>
  <si>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</si>
  <si>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</si>
  <si>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</si>
  <si>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</si>
  <si>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</si>
  <si>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</si>
  <si>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</si>
  <si>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</si>
  <si>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</si>
  <si>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</si>
  <si>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Texas Families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</si>
  <si>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</si>
  <si>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</si>
  <si>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</si>
  <si>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</si>
  <si>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</si>
  <si>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</si>
  <si>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</si>
  <si>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</si>
  <si>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</si>
  <si>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</si>
  <si>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</si>
  <si>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</si>
  <si>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</si>
  <si>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</si>
  <si>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</si>
  <si>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</si>
  <si>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</si>
  <si>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</si>
  <si>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</si>
  <si>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</si>
  <si>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</si>
  <si>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</si>
  <si>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</si>
  <si>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</si>
  <si>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</si>
  <si>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</si>
  <si>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</si>
  <si>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</si>
  <si>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</si>
  <si>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</si>
  <si>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</si>
  <si>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Average Daily Investigative Caseload per CPS Worker - YTD</t>
  </si>
  <si>
    <t>Operating 
Budget</t>
  </si>
  <si>
    <t>Expenditures 
YTD</t>
  </si>
  <si>
    <t>Method of Finance</t>
  </si>
  <si>
    <t>Subtotal GR-Related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</si>
  <si>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</si>
  <si>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</si>
  <si>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</si>
  <si>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</si>
  <si>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</si>
  <si>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</si>
  <si>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</si>
  <si>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</si>
  <si>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</si>
  <si>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</si>
  <si>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</si>
  <si>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</si>
  <si>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</si>
  <si>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</si>
  <si>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</si>
  <si>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</si>
  <si>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</si>
  <si>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</si>
  <si>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</si>
  <si>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</si>
  <si>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</si>
  <si>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</si>
  <si>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</si>
  <si>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</si>
  <si>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</si>
  <si>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</si>
  <si>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</si>
  <si>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</si>
  <si>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</si>
  <si>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</si>
  <si>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</si>
  <si>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</si>
  <si>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</si>
  <si>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</si>
  <si>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</si>
  <si>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</si>
  <si>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</si>
  <si>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</si>
  <si>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</si>
  <si>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</si>
  <si>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</si>
  <si>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</si>
  <si>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</si>
  <si>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</si>
  <si>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</si>
  <si>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</si>
  <si>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</si>
  <si>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</si>
  <si>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</si>
  <si>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</si>
  <si>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</si>
  <si>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</si>
  <si>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</si>
  <si>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</si>
  <si>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</si>
  <si>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</si>
  <si>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</si>
  <si>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</si>
  <si>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F.1.2</t>
  </si>
  <si>
    <t>F.1.3</t>
  </si>
  <si>
    <t>F.1.4</t>
  </si>
  <si>
    <t>B.1.6</t>
  </si>
  <si>
    <t>B.1.7</t>
  </si>
  <si>
    <t>B.1.8</t>
  </si>
  <si>
    <t>B.1.9</t>
  </si>
  <si>
    <t>B.1.10</t>
  </si>
  <si>
    <t>B.1.11</t>
  </si>
  <si>
    <t>B.1.12</t>
  </si>
  <si>
    <t>C.1.2</t>
  </si>
  <si>
    <t>C.1.3</t>
  </si>
  <si>
    <t>C.1.6</t>
  </si>
  <si>
    <t>APS Program Support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</si>
  <si>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</si>
  <si>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</si>
  <si>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</si>
  <si>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</si>
  <si>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</si>
  <si>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</si>
  <si>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</si>
  <si>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</si>
  <si>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</si>
  <si>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</si>
  <si>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</si>
  <si>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</si>
  <si>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</si>
  <si>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</si>
  <si>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</si>
  <si>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</si>
  <si>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</si>
  <si>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</si>
  <si>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</si>
  <si>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</si>
  <si>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</si>
  <si>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</si>
  <si>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</si>
  <si>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</si>
  <si>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</si>
  <si>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</si>
  <si>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</si>
  <si>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</si>
  <si>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</si>
  <si>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</si>
  <si>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</si>
  <si>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</si>
  <si>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</si>
  <si>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</si>
  <si>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</si>
  <si>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</si>
  <si>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</si>
  <si>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</si>
  <si>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</si>
  <si>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</si>
  <si>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</si>
  <si>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</si>
  <si>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</si>
  <si>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</si>
  <si>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</si>
  <si>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</si>
  <si>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</si>
  <si>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</si>
  <si>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</si>
  <si>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</si>
  <si>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</si>
  <si>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</si>
  <si>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Compter Devices Lease Payments</t>
  </si>
  <si>
    <t>IMPACT Upgrades</t>
  </si>
  <si>
    <t xml:space="preserve">Software Licenses </t>
  </si>
  <si>
    <t>CLASS Upgrades</t>
  </si>
  <si>
    <t>Casework System Modernization and Accessibility</t>
  </si>
  <si>
    <t>Current Month Notes:</t>
  </si>
  <si>
    <t>0802</t>
  </si>
  <si>
    <t>License Plate Trust Fund</t>
  </si>
  <si>
    <t>G</t>
  </si>
  <si>
    <t>Average Number of Children (FTE) Served in Paid Foster Care per Month*</t>
  </si>
  <si>
    <t>*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</si>
  <si>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</si>
  <si>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</si>
  <si>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</si>
  <si>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</si>
  <si>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</si>
  <si>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</si>
  <si>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</si>
  <si>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</si>
  <si>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</si>
  <si>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</si>
  <si>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</si>
  <si>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G.1.1</t>
  </si>
  <si>
    <t>Adj Cap and Current Month Paid Variance</t>
  </si>
  <si>
    <t>Substance Abuse Purchased Services</t>
  </si>
  <si>
    <t>Texas Families:  Together and Safe</t>
  </si>
  <si>
    <t>APS Purchased Emergency Client Services</t>
  </si>
  <si>
    <t>Agency-wide Automated Systems</t>
  </si>
  <si>
    <t>Subtotal, Goal G: Agency-wide Automated Systems</t>
  </si>
  <si>
    <t>Variance (HB 1 vs. Projected)</t>
  </si>
  <si>
    <t>Number of Reports of APS In-Home Adult Abuse/Neglect/Exploitation</t>
  </si>
  <si>
    <t>Number of Reports of APS Facility Adult Abuse/Neglect/Exploitation</t>
  </si>
  <si>
    <t>Number of Completed APS In-Home Investigations</t>
  </si>
  <si>
    <t>Number of Completed Investigations in Facility Settings</t>
  </si>
  <si>
    <t>Average Daily Caseload per APS In-Home Worker - YTD</t>
  </si>
  <si>
    <t>Number of Completed Inspections of Child Care Facilities</t>
  </si>
  <si>
    <t>**</t>
  </si>
  <si>
    <t>Art IX, Sec 13.01, Federal Funds/Block Grants (2016-17 GAA) Fed Ent</t>
  </si>
  <si>
    <t>E</t>
  </si>
  <si>
    <t>A</t>
  </si>
  <si>
    <t>Projections Provided by HHSC System Forecasting.</t>
  </si>
  <si>
    <t>Title IVE Waiver</t>
  </si>
  <si>
    <t>Subtotal, Goal G: Agency-Wide Automated Systems</t>
  </si>
  <si>
    <t>Administrative Systems</t>
  </si>
  <si>
    <t>PEI Databases</t>
  </si>
  <si>
    <t>Refresh Smart Phones</t>
  </si>
  <si>
    <t>FINDRS</t>
  </si>
  <si>
    <t>Cybersecurity Advancement</t>
  </si>
  <si>
    <t>TITLE IVE WAIVER</t>
  </si>
  <si>
    <t>93.505.000</t>
  </si>
  <si>
    <t>93.505.001</t>
  </si>
  <si>
    <t>MIECHV Home Visiting Program</t>
  </si>
  <si>
    <t>Hm Visiting Grnt-Competitive</t>
  </si>
  <si>
    <t>Art IX, Sec 13.01, Federal Funds/Block Grants (2016-17 GAA)</t>
  </si>
  <si>
    <t>Data Through the End of September 2016</t>
  </si>
  <si>
    <t>FY 2017 Monthly Financial Report: Strategy Budget and Variance, All Funds</t>
  </si>
  <si>
    <t>Conf. Comm. Appropriated</t>
  </si>
  <si>
    <t>54001</t>
  </si>
  <si>
    <t>54002</t>
  </si>
  <si>
    <t>54003</t>
  </si>
  <si>
    <t>54004</t>
  </si>
  <si>
    <t>54005</t>
  </si>
  <si>
    <t>54006</t>
  </si>
  <si>
    <t>54007</t>
  </si>
  <si>
    <t>54008</t>
  </si>
  <si>
    <t>54009</t>
  </si>
  <si>
    <t>54010</t>
  </si>
  <si>
    <t>54011</t>
  </si>
  <si>
    <t>54012</t>
  </si>
  <si>
    <t>TITLE IV E</t>
  </si>
  <si>
    <t>93.505 
MIECHV</t>
  </si>
  <si>
    <t>Other CFDA</t>
  </si>
  <si>
    <t>ABEST Code/</t>
  </si>
  <si>
    <t>Subtotal, Other Funds</t>
  </si>
  <si>
    <t>Cumulative Notes</t>
  </si>
  <si>
    <t>93.558/93.714
TANF</t>
  </si>
  <si>
    <t>93.575 
CCDBG</t>
  </si>
  <si>
    <t>93.667
TITLE XX</t>
  </si>
  <si>
    <t>93.778
TITLE XIX</t>
  </si>
  <si>
    <t>FY 2017 Monthly Financial Report: Strategy Variance by MOF</t>
  </si>
  <si>
    <t>Subtotal</t>
  </si>
  <si>
    <t>GRAND TOTAL</t>
  </si>
  <si>
    <t>FY 2017 Monthly Financial Report: Capital Projects</t>
  </si>
  <si>
    <t>FY 2017 Monthly Financial Report: Strategy Budget and Variance, Detailed MOF</t>
  </si>
  <si>
    <t>FY 2017 Monthly Financial Report: Strategy Projections by MOF</t>
  </si>
  <si>
    <t>FY 2017 Monthly Financial Report:  Select Performance Measures</t>
  </si>
  <si>
    <t>Target FY 2017 HB 1</t>
  </si>
  <si>
    <t>FY 2017       YTD Actual</t>
  </si>
  <si>
    <t>Statewide Intake (SWI) Automated Call Distributor (ACD) Replacement</t>
  </si>
  <si>
    <t>FY 2017 Monthly Financial Report: Full-Time Employee (FTE) Cap and Filled Positions</t>
  </si>
  <si>
    <t>C</t>
  </si>
  <si>
    <t>Art I, Informational Listing, Sec 2, Benefit Replacement Pay (2016-17 GAA)</t>
  </si>
  <si>
    <t>D</t>
  </si>
  <si>
    <t>Art IX, Sec.18.02, Appropriation for a Salary Increase for General State Employees (2016-17 GAA)</t>
  </si>
  <si>
    <t>F</t>
  </si>
  <si>
    <t>Art IX, Sec 8.02, Reimbursements and Payments (2016-17 GAA)</t>
  </si>
  <si>
    <t>B</t>
  </si>
  <si>
    <t>J</t>
  </si>
  <si>
    <t>Art II, Rider 10, Appropriation Transfer Between Fiscal Years (2016-17 GAA)</t>
  </si>
  <si>
    <t>Art II, Special Provisions Relating to All Health and Human Services Agencies, Sec 10 (2016-17 GAA)</t>
  </si>
  <si>
    <t>T</t>
  </si>
  <si>
    <t>Art IX, Sec. 18.35, Contingency for HB 19</t>
  </si>
  <si>
    <t>Department of Family and Protective Svcs</t>
  </si>
  <si>
    <t>Operating Budget Adjustments</t>
  </si>
  <si>
    <t xml:space="preserve">TITLE IVE WAIVER
</t>
  </si>
  <si>
    <t>Federal</t>
  </si>
  <si>
    <t>Prior Adjustments</t>
  </si>
  <si>
    <t>E,J</t>
  </si>
  <si>
    <t>B,E,G,T</t>
  </si>
  <si>
    <t>E,O</t>
  </si>
  <si>
    <t>O</t>
  </si>
  <si>
    <t>Current Month</t>
  </si>
  <si>
    <t>Art IX, Sec 14.03(i), Limitation on Expenditures - Capital Budget UB (2016-17 GAA)</t>
  </si>
  <si>
    <t>54013</t>
  </si>
  <si>
    <t>Notes: Estimated appropriated amount is $680,258. (Art IX, Sec. 13.11(b))</t>
  </si>
  <si>
    <t>Ending Balance</t>
  </si>
  <si>
    <t>Total Deductions</t>
  </si>
  <si>
    <t xml:space="preserve">     Other Cash Transfers w/i Fund/Account, Between Agencies</t>
  </si>
  <si>
    <t>Deductions:</t>
  </si>
  <si>
    <t>Total Estimated Revenue</t>
  </si>
  <si>
    <t xml:space="preserve">     Other Cash Transfers Between Funds/Accounts</t>
  </si>
  <si>
    <t xml:space="preserve">     Federal Receipts-Earned Credit</t>
  </si>
  <si>
    <t xml:space="preserve">     Federal Pass - Through Revenue</t>
  </si>
  <si>
    <t xml:space="preserve">     3851 Interest on State Deposits and Treasury Investments</t>
  </si>
  <si>
    <t>Estimated Revenue:</t>
  </si>
  <si>
    <t xml:space="preserve">Beginning Balance : </t>
  </si>
  <si>
    <t>Earned Federal Funds - Appropriated (Fund 0888)</t>
  </si>
  <si>
    <t>Texas Department of Family and Protective Services</t>
  </si>
  <si>
    <t>Children's Trust Fund - Unappropriated (Fund 5085)</t>
  </si>
  <si>
    <t xml:space="preserve">     3707 Marriage License Fees/Informal Declarations</t>
  </si>
  <si>
    <t xml:space="preserve">     Other Cash Transfers Between Funds/Accounts (from Fund 5084)</t>
  </si>
  <si>
    <t xml:space="preserve">     Unexpended Cash Balance Forward (CTF UB)</t>
  </si>
  <si>
    <t>Return Prior Year Unexpended Balance</t>
  </si>
  <si>
    <t xml:space="preserve">     7968 Operating Transfers w/i Agency, Fund/Account and FY</t>
  </si>
  <si>
    <t xml:space="preserve">     7972 Other Cash Transfers Between Funds/Accounts </t>
  </si>
  <si>
    <t>Children's Trust Fund - Appropriated (Fund 5084)</t>
  </si>
  <si>
    <t xml:space="preserve">     Marriage License Fees/Informal Declarations</t>
  </si>
  <si>
    <t xml:space="preserve">     Interest on State Deposits and Treasury Investments</t>
  </si>
  <si>
    <t xml:space="preserve">    3972 Other Transfers In Between Funds/Accounts (from Fund 5085)</t>
  </si>
  <si>
    <t xml:space="preserve">     Expenditures</t>
  </si>
  <si>
    <t xml:space="preserve">       Less: Vouchers Payable</t>
  </si>
  <si>
    <t xml:space="preserve">     Other Cash Transfers Between Funds/Accounts </t>
  </si>
  <si>
    <t>Note: Appropriated amount is $5,685,701.</t>
  </si>
  <si>
    <t>Note: Expenditures are estimated and have not been entered into USAS as of reporting time.</t>
  </si>
  <si>
    <t>Appropriated Receipts (Fund 666)</t>
  </si>
  <si>
    <t>Beginning Balance :</t>
  </si>
  <si>
    <t xml:space="preserve">     3802 Reimbursements-Third Party</t>
  </si>
  <si>
    <t xml:space="preserve">     3802 Reimbursements-Third Party (Stipends)</t>
  </si>
  <si>
    <t>Reimbursements-Third Party (Non-Client Specific FC Income)</t>
  </si>
  <si>
    <t xml:space="preserve">     3802 Reimbursements-Third Party (County)</t>
  </si>
  <si>
    <t>Reimbursements-Third Party (County Bonus Pay)</t>
  </si>
  <si>
    <t xml:space="preserve">     3802 Reimbursements-Third Party (Employee Equipment)</t>
  </si>
  <si>
    <t>Reimbursements-Third Party (IAC)</t>
  </si>
  <si>
    <t>Reimbursements-Third Party (Non County)</t>
  </si>
  <si>
    <t xml:space="preserve">     3722 Conf/Seminar/Training Registration Fees</t>
  </si>
  <si>
    <t>Appropriated Receipts - Child Support Collections (Fund 8093)</t>
  </si>
  <si>
    <t>Reimbursements-Third Party (County)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</si>
  <si>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</si>
  <si>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</si>
  <si>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</si>
  <si>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</si>
  <si>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</si>
  <si>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</si>
  <si>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</si>
  <si>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Private Institution Leases - Child Care Fees Unappropriated (Fund 0001)</t>
  </si>
  <si>
    <t xml:space="preserve">     3611 Private Institution Licenses (Licensing Fees)</t>
  </si>
  <si>
    <t xml:space="preserve">     3611 Private Institution Licenses (Administrators License)</t>
  </si>
  <si>
    <t xml:space="preserve">     3611 Private Institution Licenses (CHC-Admin Penalties)</t>
  </si>
  <si>
    <t>Unapprop Rcpts Swept by Compt</t>
  </si>
  <si>
    <t>Child Care Licensing Fee Collection</t>
  </si>
  <si>
    <t>SB1, Art II Appropriated</t>
  </si>
  <si>
    <t>84th Legislature, SB1 Art IX, Sec 13.01 Federal Funds/Block Grants (2016-17 GAA)</t>
  </si>
  <si>
    <t>84th Legislature, SB1 Art II, Special Provisions Relating to All Health and Human Services Agencies, Sec 10 (2016-17 GAA)</t>
  </si>
  <si>
    <t>84th Legislature, SB1 Art IX, Sec.18.02, Appropriation for a Salary Increase for General State Employees (2016-17 GAA)</t>
  </si>
  <si>
    <t>84th Legislature, SB1 Art IX, Sec 13.01, Federal Funds/Block Grants (2016-17 GAA) Fed Entitlements</t>
  </si>
  <si>
    <t>84th Legislature, SB1 Art IX, Sec 8.02, Reimbursements and Payments (2016-17 GAA)</t>
  </si>
  <si>
    <t>84th Legislature, SB1 Art IX, Sec 14.01, Appropriation Transfers (2016-17 GAA)</t>
  </si>
  <si>
    <t>84th Legislature, SB1 Art IX, Sec. 18.35, Contingency for HB 19</t>
  </si>
  <si>
    <t>V</t>
  </si>
  <si>
    <t>84th Legislature, Regular Session, House Bill 2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</si>
  <si>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</si>
  <si>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</si>
  <si>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</si>
  <si>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</si>
  <si>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</si>
  <si>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 xml:space="preserve">Subtotal, Goal E:  </t>
    </r>
    <r>
      <rPr>
        <b/>
        <i/>
        <sz val="12"/>
        <rFont val="Times New Roman"/>
        <family val="1"/>
      </rPr>
      <t xml:space="preserve">Child Care Regulation </t>
    </r>
  </si>
  <si>
    <r>
      <t xml:space="preserve">Subtotal, Goal F: </t>
    </r>
    <r>
      <rPr>
        <b/>
        <i/>
        <sz val="12"/>
        <rFont val="Times New Roman"/>
        <family val="1"/>
      </rPr>
      <t>Indirect Administration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</si>
  <si>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</si>
  <si>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t>Art IX, Sec 14.01, Appropriation Transfers (2016-17 GAA)</t>
  </si>
  <si>
    <t>HB 1, 84th Leg, RS, Fiscal Size-Up, modified to reflect technical correction to allocate funding between HHS agencies</t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</si>
  <si>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</si>
  <si>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93.575
</t>
    </r>
    <r>
      <rPr>
        <b/>
        <sz val="12"/>
        <rFont val="Times New Roman"/>
        <family val="1"/>
      </rPr>
      <t>CCDBG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</si>
  <si>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</si>
  <si>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</si>
  <si>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Subtotal, Goal E: </t>
    </r>
    <r>
      <rPr>
        <b/>
        <i/>
        <sz val="12"/>
        <rFont val="Times New Roman"/>
        <family val="1"/>
      </rPr>
      <t xml:space="preserve"> Child Care Regulation </t>
    </r>
  </si>
  <si>
    <r>
      <t xml:space="preserve">Subtotal, Goal G: </t>
    </r>
    <r>
      <rPr>
        <b/>
        <i/>
        <sz val="12"/>
        <rFont val="Times New Roman"/>
        <family val="1"/>
      </rPr>
      <t>Indirect Administration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</si>
  <si>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</si>
  <si>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</si>
  <si>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</si>
  <si>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</si>
  <si>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Subtotal, Goal E:</t>
    </r>
    <r>
      <rPr>
        <b/>
        <i/>
        <sz val="12"/>
        <rFont val="Times New Roman"/>
        <family val="1"/>
      </rPr>
      <t xml:space="preserve">  Child Care Regulation </t>
    </r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</si>
  <si>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Indirect Administration</t>
    </r>
  </si>
  <si>
    <r>
      <rPr>
        <b/>
        <sz val="12"/>
        <rFont val="Times New Roman"/>
        <family val="1"/>
      </rPr>
      <t>Subtotal, Goal G:</t>
    </r>
    <r>
      <rPr>
        <b/>
        <i/>
        <sz val="12"/>
        <rFont val="Times New Roman"/>
        <family val="1"/>
      </rPr>
      <t xml:space="preserve"> Indirect Administration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</si>
  <si>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</si>
  <si>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</si>
  <si>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Adjusted CAP:</t>
  </si>
  <si>
    <t>(1) 84th Leg (GAA 16-17) Article II, S.P. Sec. 10 Home Visiting Programs Consolidation (letter dated 12/01/15)</t>
  </si>
  <si>
    <t>Avg. # of Children in FPS Conservatorship per Month Living in Out-of-Home Care</t>
  </si>
  <si>
    <t>W</t>
  </si>
  <si>
    <t>Art II, Rider 6 (c) Foster Care Rates (2016-17 GAA)</t>
  </si>
  <si>
    <t>E,J,K,W</t>
  </si>
  <si>
    <t>K</t>
  </si>
  <si>
    <t>Art IX, Sec 13.10, Request to Expend TANF- Federal Funds/Block Grants (2016-17 GAA)</t>
  </si>
  <si>
    <t>D,E,G</t>
  </si>
  <si>
    <t>A,D,G</t>
  </si>
  <si>
    <t>D,G</t>
  </si>
  <si>
    <t>D,E,F,G</t>
  </si>
  <si>
    <t>A,D,E,G</t>
  </si>
  <si>
    <t>(Note: Legal cite "C" has been excluded in the November report)</t>
  </si>
  <si>
    <t>B,E</t>
  </si>
  <si>
    <t>A,B,D,E,G,K,O,W</t>
  </si>
  <si>
    <t>A,B,D,E,F,G</t>
  </si>
  <si>
    <t>B,D,E,G</t>
  </si>
  <si>
    <t>B,D,E,F,G</t>
  </si>
  <si>
    <t>A,B,D,E,G,V</t>
  </si>
  <si>
    <t>B,E,O</t>
  </si>
  <si>
    <t xml:space="preserve">     3986  CTF UB Forward In, 403</t>
  </si>
  <si>
    <t>FY 2017 Projected **</t>
  </si>
  <si>
    <t>Average Number of Children Provided Adoption Subsidy per Month*</t>
  </si>
  <si>
    <t>Average Number of STAR Youth Served per Month*</t>
  </si>
  <si>
    <t>Average Number of CYD Youth Served per Month*</t>
  </si>
  <si>
    <t>As of Date:</t>
  </si>
  <si>
    <t>Period</t>
  </si>
  <si>
    <t>.</t>
  </si>
  <si>
    <t>Fiscal Year:</t>
  </si>
  <si>
    <t>2017</t>
  </si>
  <si>
    <t>Period Ending Date:</t>
  </si>
  <si>
    <t>Prior Fiscal Year:</t>
  </si>
  <si>
    <t>Period:</t>
  </si>
  <si>
    <t>***</t>
  </si>
  <si>
    <t>YTD for #11-14 are projections provided by HHSC System Forecasting.</t>
  </si>
  <si>
    <t>Non-Key Performance Measures reported in LAR.</t>
  </si>
  <si>
    <t>Data Through March 2017</t>
  </si>
  <si>
    <t>(2) 84th Leg (GAA 16-17) Article II, S.P. Sec. 10 Exceeding Full-Time Equivalent (FTE) Authority (letter dated 11/22/16)</t>
  </si>
  <si>
    <t>(3) Budgeted (Adjusted CAP) includes 60.0 Administrative FTEs that transferred to HHSC on 09/01/16, letter of authority is pending.</t>
  </si>
  <si>
    <t>(4) FTE alignment between strategies to meet agency needs are reflected in Budgeted (Adjusted CAP) column.</t>
  </si>
  <si>
    <t>Data Through the End of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</si>
</sst>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</numFmts>
  <fonts count="90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indexed="9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rgb="FF000000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999999"/>
      </left>
      <right/>
      <top style="medium">
        <color indexed="64"/>
      </top>
      <bottom/>
      <diagonal/>
    </border>
    <border>
      <left style="thin">
        <color rgb="FF99999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0941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">
      <alignment horizontal="center"/>
    </xf>
    <xf numFmtId="3" fontId="23" fillId="0" borderId="0" applyFont="0" applyFill="0" applyBorder="0" applyAlignment="0" applyProtection="0"/>
    <xf numFmtId="0" fontId="23" fillId="2" borderId="0" applyNumberFormat="0" applyFont="0" applyBorder="0" applyAlignment="0" applyProtection="0"/>
    <xf numFmtId="0" fontId="26" fillId="0" borderId="0"/>
    <xf numFmtId="0" fontId="26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7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19" fillId="3" borderId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8" fillId="0" borderId="0"/>
    <xf numFmtId="0" fontId="4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">
      <alignment horizontal="center"/>
    </xf>
    <xf numFmtId="0" fontId="24" fillId="0" borderId="1">
      <alignment horizontal="center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3" fillId="2" borderId="0" applyNumberFormat="0" applyFont="0" applyBorder="0" applyAlignment="0" applyProtection="0"/>
    <xf numFmtId="0" fontId="23" fillId="2" borderId="0" applyNumberFormat="0" applyFon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/>
    <xf numFmtId="44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/>
    <xf numFmtId="0" fontId="16" fillId="0" borderId="0"/>
    <xf numFmtId="0" fontId="15" fillId="0" borderId="0"/>
    <xf numFmtId="0" fontId="14" fillId="0" borderId="0"/>
    <xf numFmtId="0" fontId="51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52" fillId="0" borderId="0"/>
    <xf numFmtId="0" fontId="53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18" fillId="0" borderId="0"/>
    <xf numFmtId="9" fontId="1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27" fillId="0" borderId="0"/>
    <xf numFmtId="0" fontId="27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2" fillId="0" borderId="0"/>
    <xf numFmtId="43" fontId="27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</cellStyleXfs>
  <cellXfs count="585">
    <xf numFmtId="0" fontId="0" fillId="0" borderId="0" xfId="0"/>
    <xf numFmtId="0" fontId="25" fillId="0" borderId="0" xfId="0" applyFont="1" applyFill="1"/>
    <xf numFmtId="0" fontId="21" fillId="0" borderId="0" xfId="0" applyFont="1" applyFill="1" applyAlignment="1">
      <alignment horizontal="center"/>
    </xf>
    <xf numFmtId="0" fontId="18" fillId="0" borderId="0" xfId="0" applyFont="1"/>
    <xf numFmtId="0" fontId="55" fillId="0" borderId="0" xfId="0" applyFont="1" applyFill="1"/>
    <xf numFmtId="0" fontId="18" fillId="0" borderId="0" xfId="0" applyFont="1" applyFill="1"/>
    <xf numFmtId="3" fontId="18" fillId="0" borderId="0" xfId="0" applyNumberFormat="1" applyFont="1" applyFill="1"/>
    <xf numFmtId="0" fontId="25" fillId="0" borderId="0" xfId="0" applyFont="1"/>
    <xf numFmtId="0" fontId="56" fillId="0" borderId="0" xfId="3" applyFont="1" applyFill="1" applyAlignment="1">
      <alignment horizontal="center"/>
    </xf>
    <xf numFmtId="0" fontId="25" fillId="0" borderId="0" xfId="3" applyFont="1" applyFill="1"/>
    <xf numFmtId="0" fontId="55" fillId="0" borderId="0" xfId="3" applyFont="1" applyFill="1"/>
    <xf numFmtId="0" fontId="58" fillId="0" borderId="0" xfId="3" applyFont="1" applyFill="1"/>
    <xf numFmtId="49" fontId="58" fillId="0" borderId="0" xfId="3" applyNumberFormat="1" applyFont="1" applyFill="1" applyAlignment="1">
      <alignment horizontal="left" indent="1"/>
    </xf>
    <xf numFmtId="3" fontId="25" fillId="0" borderId="0" xfId="0" applyNumberFormat="1" applyFont="1" applyFill="1" applyAlignment="1"/>
    <xf numFmtId="3" fontId="25" fillId="0" borderId="0" xfId="0" applyNumberFormat="1" applyFont="1" applyFill="1"/>
    <xf numFmtId="0" fontId="60" fillId="0" borderId="0" xfId="0" applyFont="1" applyFill="1"/>
    <xf numFmtId="37" fontId="60" fillId="0" borderId="0" xfId="0" applyNumberFormat="1" applyFont="1" applyFill="1"/>
    <xf numFmtId="3" fontId="60" fillId="0" borderId="0" xfId="0" applyNumberFormat="1" applyFont="1" applyFill="1"/>
    <xf numFmtId="0" fontId="60" fillId="0" borderId="0" xfId="0" applyFont="1"/>
    <xf numFmtId="0" fontId="60" fillId="0" borderId="0" xfId="0" applyFont="1" applyFill="1" applyBorder="1"/>
    <xf numFmtId="0" fontId="59" fillId="5" borderId="25" xfId="3" applyFont="1" applyFill="1" applyBorder="1"/>
    <xf numFmtId="0" fontId="59" fillId="5" borderId="26" xfId="3" applyFont="1" applyFill="1" applyBorder="1" applyAlignment="1">
      <alignment horizontal="center" wrapText="1"/>
    </xf>
    <xf numFmtId="0" fontId="59" fillId="5" borderId="27" xfId="3" applyFont="1" applyFill="1" applyBorder="1" applyAlignment="1">
      <alignment horizontal="center"/>
    </xf>
    <xf numFmtId="38" fontId="60" fillId="0" borderId="29" xfId="1" applyNumberFormat="1" applyFont="1" applyBorder="1" applyAlignment="1">
      <alignment horizontal="right"/>
    </xf>
    <xf numFmtId="38" fontId="60" fillId="0" borderId="29" xfId="0" applyNumberFormat="1" applyFont="1" applyBorder="1"/>
    <xf numFmtId="0" fontId="60" fillId="0" borderId="31" xfId="0" applyFont="1" applyBorder="1"/>
    <xf numFmtId="0" fontId="59" fillId="5" borderId="29" xfId="3" applyFont="1" applyFill="1" applyBorder="1" applyAlignment="1">
      <alignment horizontal="center"/>
    </xf>
    <xf numFmtId="38" fontId="60" fillId="0" borderId="34" xfId="0" applyNumberFormat="1" applyFont="1" applyBorder="1"/>
    <xf numFmtId="0" fontId="60" fillId="0" borderId="0" xfId="3" applyFont="1" applyFill="1" applyAlignment="1">
      <alignment wrapText="1"/>
    </xf>
    <xf numFmtId="0" fontId="60" fillId="0" borderId="0" xfId="3" applyFont="1" applyFill="1"/>
    <xf numFmtId="43" fontId="63" fillId="0" borderId="0" xfId="1" applyFont="1" applyFill="1"/>
    <xf numFmtId="0" fontId="59" fillId="0" borderId="0" xfId="3" applyFont="1" applyFill="1"/>
    <xf numFmtId="0" fontId="59" fillId="0" borderId="0" xfId="3" applyFont="1" applyFill="1" applyBorder="1"/>
    <xf numFmtId="165" fontId="64" fillId="0" borderId="0" xfId="1" applyNumberFormat="1" applyFont="1" applyFill="1"/>
    <xf numFmtId="0" fontId="61" fillId="0" borderId="0" xfId="3" applyFont="1" applyFill="1"/>
    <xf numFmtId="0" fontId="62" fillId="0" borderId="0" xfId="3" applyFont="1" applyFill="1"/>
    <xf numFmtId="49" fontId="62" fillId="0" borderId="0" xfId="3" applyNumberFormat="1" applyFont="1" applyFill="1" applyAlignment="1">
      <alignment horizontal="left" wrapText="1"/>
    </xf>
    <xf numFmtId="49" fontId="60" fillId="0" borderId="0" xfId="3" applyNumberFormat="1" applyFont="1" applyFill="1" applyAlignment="1">
      <alignment horizontal="left" indent="1"/>
    </xf>
    <xf numFmtId="49" fontId="60" fillId="0" borderId="0" xfId="3" applyNumberFormat="1" applyFont="1" applyFill="1"/>
    <xf numFmtId="165" fontId="60" fillId="0" borderId="0" xfId="3" applyNumberFormat="1" applyFont="1" applyFill="1"/>
    <xf numFmtId="0" fontId="63" fillId="0" borderId="0" xfId="0" applyFont="1" applyFill="1"/>
    <xf numFmtId="0" fontId="60" fillId="0" borderId="0" xfId="0" applyFont="1" applyFill="1" applyAlignment="1">
      <alignment horizontal="center"/>
    </xf>
    <xf numFmtId="3" fontId="60" fillId="0" borderId="0" xfId="0" applyNumberFormat="1" applyFont="1" applyFill="1" applyAlignment="1"/>
    <xf numFmtId="0" fontId="59" fillId="0" borderId="0" xfId="0" applyFont="1" applyFill="1" applyAlignment="1">
      <alignment horizontal="center"/>
    </xf>
    <xf numFmtId="0" fontId="62" fillId="0" borderId="0" xfId="0" applyFont="1"/>
    <xf numFmtId="0" fontId="57" fillId="0" borderId="0" xfId="3" applyFont="1" applyFill="1" applyAlignment="1">
      <alignment horizontal="centerContinuous"/>
    </xf>
    <xf numFmtId="165" fontId="65" fillId="0" borderId="0" xfId="1" applyNumberFormat="1" applyFont="1" applyFill="1" applyAlignment="1">
      <alignment horizontal="center"/>
    </xf>
    <xf numFmtId="0" fontId="65" fillId="0" borderId="0" xfId="3" applyFont="1" applyFill="1" applyAlignment="1">
      <alignment horizontal="center"/>
    </xf>
    <xf numFmtId="0" fontId="66" fillId="0" borderId="0" xfId="3" applyFont="1" applyFill="1"/>
    <xf numFmtId="0" fontId="21" fillId="0" borderId="0" xfId="3" applyFont="1" applyFill="1" applyAlignment="1">
      <alignment horizontal="centerContinuous"/>
    </xf>
    <xf numFmtId="165" fontId="67" fillId="0" borderId="0" xfId="1" applyNumberFormat="1" applyFont="1" applyFill="1" applyAlignment="1">
      <alignment horizontal="center"/>
    </xf>
    <xf numFmtId="0" fontId="67" fillId="0" borderId="0" xfId="3" applyFont="1" applyFill="1" applyAlignment="1">
      <alignment horizontal="center"/>
    </xf>
    <xf numFmtId="0" fontId="54" fillId="0" borderId="0" xfId="3" applyFont="1" applyFill="1"/>
    <xf numFmtId="0" fontId="62" fillId="0" borderId="30" xfId="0" applyFont="1" applyBorder="1"/>
    <xf numFmtId="0" fontId="62" fillId="0" borderId="3" xfId="0" applyFont="1" applyBorder="1"/>
    <xf numFmtId="0" fontId="62" fillId="0" borderId="28" xfId="0" applyFont="1" applyBorder="1"/>
    <xf numFmtId="0" fontId="62" fillId="0" borderId="0" xfId="0" applyFont="1" applyBorder="1"/>
    <xf numFmtId="0" fontId="61" fillId="5" borderId="28" xfId="3" applyFont="1" applyFill="1" applyBorder="1"/>
    <xf numFmtId="0" fontId="61" fillId="5" borderId="3" xfId="3" applyFont="1" applyFill="1" applyBorder="1" applyAlignment="1">
      <alignment horizontal="center" wrapText="1"/>
    </xf>
    <xf numFmtId="0" fontId="62" fillId="0" borderId="32" xfId="0" applyFont="1" applyBorder="1"/>
    <xf numFmtId="0" fontId="62" fillId="0" borderId="33" xfId="0" applyFont="1" applyBorder="1"/>
    <xf numFmtId="49" fontId="62" fillId="0" borderId="0" xfId="3" applyNumberFormat="1" applyFont="1" applyFill="1"/>
    <xf numFmtId="0" fontId="62" fillId="0" borderId="0" xfId="0" applyFont="1" applyFill="1"/>
    <xf numFmtId="5" fontId="60" fillId="0" borderId="0" xfId="0" applyNumberFormat="1" applyFont="1" applyFill="1" applyBorder="1" applyAlignment="1">
      <alignment vertical="center"/>
    </xf>
    <xf numFmtId="37" fontId="60" fillId="0" borderId="0" xfId="0" applyNumberFormat="1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43" fontId="25" fillId="0" borderId="0" xfId="1" applyFont="1" applyFill="1" applyAlignment="1">
      <alignment vertical="center"/>
    </xf>
    <xf numFmtId="0" fontId="25" fillId="0" borderId="0" xfId="0" applyFont="1" applyFill="1" applyAlignment="1">
      <alignment vertical="center"/>
    </xf>
    <xf numFmtId="43" fontId="18" fillId="0" borderId="0" xfId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3" fontId="60" fillId="0" borderId="0" xfId="1" applyFont="1" applyFill="1" applyAlignment="1">
      <alignment vertical="center"/>
    </xf>
    <xf numFmtId="0" fontId="60" fillId="0" borderId="0" xfId="0" applyFont="1" applyFill="1" applyAlignment="1">
      <alignment vertical="center"/>
    </xf>
    <xf numFmtId="5" fontId="69" fillId="0" borderId="0" xfId="0" applyNumberFormat="1" applyFont="1" applyFill="1" applyBorder="1" applyAlignment="1">
      <alignment vertical="center"/>
    </xf>
    <xf numFmtId="164" fontId="60" fillId="0" borderId="0" xfId="0" applyNumberFormat="1" applyFont="1" applyFill="1" applyBorder="1" applyAlignment="1">
      <alignment vertical="center"/>
    </xf>
    <xf numFmtId="37" fontId="69" fillId="0" borderId="0" xfId="0" applyNumberFormat="1" applyFont="1" applyFill="1" applyBorder="1" applyAlignment="1">
      <alignment vertical="center"/>
    </xf>
    <xf numFmtId="164" fontId="69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3" fontId="60" fillId="0" borderId="0" xfId="0" applyNumberFormat="1" applyFont="1" applyFill="1" applyAlignment="1">
      <alignment vertical="center"/>
    </xf>
    <xf numFmtId="3" fontId="60" fillId="0" borderId="0" xfId="0" applyNumberFormat="1" applyFont="1" applyFill="1" applyAlignment="1">
      <alignment horizontal="left" vertical="center"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horizontal="left" vertical="center"/>
    </xf>
    <xf numFmtId="0" fontId="68" fillId="4" borderId="14" xfId="0" applyFont="1" applyFill="1" applyBorder="1" applyAlignment="1">
      <alignment vertical="center"/>
    </xf>
    <xf numFmtId="0" fontId="60" fillId="0" borderId="0" xfId="0" applyFont="1" applyFill="1" applyAlignment="1">
      <alignment horizontal="left" vertical="center"/>
    </xf>
    <xf numFmtId="164" fontId="59" fillId="0" borderId="0" xfId="0" applyNumberFormat="1" applyFont="1" applyFill="1" applyAlignment="1">
      <alignment horizontal="left" vertical="center"/>
    </xf>
    <xf numFmtId="0" fontId="70" fillId="0" borderId="4" xfId="12" applyFont="1" applyFill="1" applyBorder="1" applyAlignment="1">
      <alignment horizontal="center"/>
    </xf>
    <xf numFmtId="0" fontId="72" fillId="0" borderId="6" xfId="12" applyFont="1" applyFill="1" applyBorder="1"/>
    <xf numFmtId="0" fontId="72" fillId="0" borderId="2" xfId="12" applyFont="1" applyFill="1" applyBorder="1"/>
    <xf numFmtId="167" fontId="72" fillId="0" borderId="7" xfId="50934" applyNumberFormat="1" applyFont="1" applyFill="1" applyBorder="1"/>
    <xf numFmtId="164" fontId="70" fillId="0" borderId="5" xfId="12" applyNumberFormat="1" applyFont="1" applyFill="1" applyBorder="1" applyAlignment="1">
      <alignment horizontal="left" indent="3"/>
    </xf>
    <xf numFmtId="0" fontId="70" fillId="0" borderId="5" xfId="12" applyFont="1" applyFill="1" applyBorder="1"/>
    <xf numFmtId="167" fontId="70" fillId="0" borderId="3" xfId="50934" applyNumberFormat="1" applyFont="1" applyFill="1" applyBorder="1"/>
    <xf numFmtId="167" fontId="72" fillId="0" borderId="6" xfId="50934" applyNumberFormat="1" applyFont="1" applyFill="1" applyBorder="1"/>
    <xf numFmtId="0" fontId="72" fillId="0" borderId="7" xfId="12" applyFont="1" applyFill="1" applyBorder="1"/>
    <xf numFmtId="0" fontId="72" fillId="0" borderId="9" xfId="12" applyFont="1" applyFill="1" applyBorder="1"/>
    <xf numFmtId="164" fontId="70" fillId="0" borderId="13" xfId="12" applyNumberFormat="1" applyFont="1" applyFill="1" applyBorder="1"/>
    <xf numFmtId="164" fontId="70" fillId="0" borderId="5" xfId="12" applyNumberFormat="1" applyFont="1" applyFill="1" applyBorder="1"/>
    <xf numFmtId="0" fontId="72" fillId="0" borderId="0" xfId="12" applyFont="1" applyFill="1"/>
    <xf numFmtId="167" fontId="72" fillId="0" borderId="0" xfId="13" applyNumberFormat="1" applyFont="1" applyFill="1"/>
    <xf numFmtId="0" fontId="73" fillId="0" borderId="0" xfId="12" applyFont="1"/>
    <xf numFmtId="3" fontId="70" fillId="3" borderId="3" xfId="0" applyNumberFormat="1" applyFont="1" applyFill="1" applyBorder="1" applyAlignment="1">
      <alignment horizontal="center" wrapText="1"/>
    </xf>
    <xf numFmtId="3" fontId="74" fillId="0" borderId="0" xfId="0" applyNumberFormat="1" applyFont="1" applyFill="1"/>
    <xf numFmtId="41" fontId="72" fillId="0" borderId="0" xfId="4300" applyNumberFormat="1" applyFont="1"/>
    <xf numFmtId="41" fontId="72" fillId="0" borderId="0" xfId="1" applyNumberFormat="1" applyFont="1"/>
    <xf numFmtId="41" fontId="70" fillId="0" borderId="53" xfId="1" applyNumberFormat="1" applyFont="1" applyBorder="1" applyAlignment="1"/>
    <xf numFmtId="41" fontId="72" fillId="0" borderId="0" xfId="1" applyNumberFormat="1" applyFont="1" applyAlignment="1"/>
    <xf numFmtId="41" fontId="72" fillId="0" borderId="0" xfId="50939" applyNumberFormat="1" applyFont="1" applyAlignment="1"/>
    <xf numFmtId="41" fontId="70" fillId="0" borderId="13" xfId="1" applyNumberFormat="1" applyFont="1" applyBorder="1" applyAlignment="1"/>
    <xf numFmtId="41" fontId="70" fillId="0" borderId="0" xfId="50939" applyNumberFormat="1" applyFont="1" applyAlignment="1"/>
    <xf numFmtId="41" fontId="72" fillId="0" borderId="0" xfId="50940" applyNumberFormat="1" applyFont="1" applyAlignment="1"/>
    <xf numFmtId="41" fontId="70" fillId="0" borderId="0" xfId="50939" applyNumberFormat="1" applyFont="1" applyAlignment="1">
      <alignment horizontal="left"/>
    </xf>
    <xf numFmtId="43" fontId="72" fillId="0" borderId="0" xfId="1" applyFont="1" applyAlignment="1"/>
    <xf numFmtId="41" fontId="72" fillId="0" borderId="0" xfId="50939" applyNumberFormat="1" applyFont="1" applyAlignment="1">
      <alignment horizontal="left"/>
    </xf>
    <xf numFmtId="41" fontId="70" fillId="0" borderId="0" xfId="1" applyNumberFormat="1" applyFont="1"/>
    <xf numFmtId="41" fontId="70" fillId="0" borderId="0" xfId="50940" applyNumberFormat="1" applyFont="1" applyFill="1" applyBorder="1" applyAlignment="1"/>
    <xf numFmtId="41" fontId="70" fillId="0" borderId="0" xfId="50940" applyNumberFormat="1" applyFont="1" applyBorder="1" applyAlignment="1"/>
    <xf numFmtId="41" fontId="72" fillId="0" borderId="0" xfId="50940" applyNumberFormat="1" applyFont="1" applyFill="1" applyAlignment="1"/>
    <xf numFmtId="41" fontId="70" fillId="0" borderId="0" xfId="50940" applyNumberFormat="1" applyFont="1" applyAlignment="1"/>
    <xf numFmtId="41" fontId="70" fillId="0" borderId="13" xfId="50940" applyNumberFormat="1" applyFont="1" applyBorder="1" applyAlignment="1"/>
    <xf numFmtId="41" fontId="72" fillId="0" borderId="0" xfId="4300" applyNumberFormat="1" applyFont="1" applyAlignment="1">
      <alignment horizontal="left"/>
    </xf>
    <xf numFmtId="41" fontId="72" fillId="0" borderId="0" xfId="4300" applyNumberFormat="1" applyFont="1" applyAlignment="1"/>
    <xf numFmtId="41" fontId="70" fillId="0" borderId="53" xfId="50940" applyNumberFormat="1" applyFont="1" applyBorder="1" applyAlignment="1"/>
    <xf numFmtId="41" fontId="72" fillId="0" borderId="0" xfId="4300" quotePrefix="1" applyNumberFormat="1" applyFont="1" applyAlignment="1">
      <alignment horizontal="center"/>
    </xf>
    <xf numFmtId="41" fontId="72" fillId="0" borderId="0" xfId="4300" applyNumberFormat="1" applyFont="1" applyFill="1" applyAlignment="1">
      <alignment horizontal="left"/>
    </xf>
    <xf numFmtId="165" fontId="72" fillId="0" borderId="0" xfId="1" applyNumberFormat="1" applyFont="1" applyAlignment="1"/>
    <xf numFmtId="41" fontId="72" fillId="0" borderId="0" xfId="4300" quotePrefix="1" applyNumberFormat="1" applyFont="1" applyAlignment="1">
      <alignment horizontal="left"/>
    </xf>
    <xf numFmtId="0" fontId="72" fillId="0" borderId="0" xfId="50940" applyFont="1" applyAlignment="1"/>
    <xf numFmtId="169" fontId="72" fillId="0" borderId="0" xfId="50940" applyNumberFormat="1" applyFont="1" applyAlignment="1"/>
    <xf numFmtId="41" fontId="72" fillId="0" borderId="0" xfId="16" applyNumberFormat="1" applyFont="1"/>
    <xf numFmtId="41" fontId="72" fillId="0" borderId="0" xfId="16" quotePrefix="1" applyNumberFormat="1" applyFont="1" applyAlignment="1">
      <alignment horizontal="center"/>
    </xf>
    <xf numFmtId="0" fontId="72" fillId="0" borderId="0" xfId="50940" applyFont="1" applyAlignment="1">
      <alignment horizontal="left"/>
    </xf>
    <xf numFmtId="165" fontId="72" fillId="0" borderId="0" xfId="2234" applyNumberFormat="1" applyFont="1" applyAlignment="1"/>
    <xf numFmtId="0" fontId="72" fillId="0" borderId="0" xfId="4300" applyFont="1" applyBorder="1"/>
    <xf numFmtId="38" fontId="72" fillId="0" borderId="0" xfId="50940" applyNumberFormat="1" applyFont="1" applyAlignment="1"/>
    <xf numFmtId="41" fontId="72" fillId="0" borderId="0" xfId="16" applyNumberFormat="1" applyFont="1" applyAlignment="1"/>
    <xf numFmtId="0" fontId="70" fillId="0" borderId="0" xfId="50940" applyFont="1" applyAlignment="1"/>
    <xf numFmtId="0" fontId="72" fillId="0" borderId="0" xfId="4300" applyFont="1"/>
    <xf numFmtId="8" fontId="72" fillId="0" borderId="0" xfId="4300" applyNumberFormat="1" applyFont="1"/>
    <xf numFmtId="0" fontId="72" fillId="0" borderId="0" xfId="50940" applyFont="1" applyFill="1" applyAlignment="1"/>
    <xf numFmtId="165" fontId="72" fillId="0" borderId="0" xfId="1" applyNumberFormat="1" applyFont="1" applyFill="1" applyAlignment="1"/>
    <xf numFmtId="165" fontId="72" fillId="0" borderId="0" xfId="2234" applyNumberFormat="1" applyFont="1" applyFill="1" applyAlignment="1"/>
    <xf numFmtId="41" fontId="72" fillId="0" borderId="0" xfId="4300" applyNumberFormat="1" applyFont="1" applyBorder="1"/>
    <xf numFmtId="0" fontId="72" fillId="0" borderId="0" xfId="50940" applyFont="1" applyFill="1" applyAlignment="1">
      <alignment horizontal="left"/>
    </xf>
    <xf numFmtId="166" fontId="60" fillId="0" borderId="0" xfId="3" applyNumberFormat="1" applyFont="1" applyFill="1"/>
    <xf numFmtId="43" fontId="76" fillId="0" borderId="0" xfId="1" applyFont="1" applyFill="1" applyAlignment="1">
      <alignment horizontal="center" vertical="center"/>
    </xf>
    <xf numFmtId="43" fontId="72" fillId="0" borderId="0" xfId="1" applyFont="1" applyFill="1" applyAlignment="1">
      <alignment vertical="center"/>
    </xf>
    <xf numFmtId="0" fontId="70" fillId="3" borderId="12" xfId="0" applyFont="1" applyFill="1" applyBorder="1" applyAlignment="1">
      <alignment vertical="center"/>
    </xf>
    <xf numFmtId="0" fontId="70" fillId="3" borderId="35" xfId="0" applyFont="1" applyFill="1" applyBorder="1" applyAlignment="1">
      <alignment horizontal="center" vertical="center"/>
    </xf>
    <xf numFmtId="3" fontId="70" fillId="3" borderId="3" xfId="0" applyNumberFormat="1" applyFont="1" applyFill="1" applyBorder="1" applyAlignment="1">
      <alignment horizontal="center" vertical="center" wrapText="1"/>
    </xf>
    <xf numFmtId="3" fontId="70" fillId="3" borderId="3" xfId="0" applyNumberFormat="1" applyFont="1" applyFill="1" applyBorder="1" applyAlignment="1">
      <alignment horizontal="center" vertical="center"/>
    </xf>
    <xf numFmtId="5" fontId="73" fillId="0" borderId="0" xfId="10" applyNumberFormat="1" applyFont="1" applyFill="1" applyBorder="1" applyAlignment="1">
      <alignment horizontal="left" vertical="center"/>
    </xf>
    <xf numFmtId="5" fontId="73" fillId="0" borderId="0" xfId="10" applyNumberFormat="1" applyFont="1" applyFill="1" applyBorder="1" applyAlignment="1">
      <alignment vertical="center"/>
    </xf>
    <xf numFmtId="42" fontId="72" fillId="0" borderId="0" xfId="1" applyNumberFormat="1" applyFont="1" applyFill="1" applyBorder="1" applyAlignment="1">
      <alignment horizontal="left" vertical="center"/>
    </xf>
    <xf numFmtId="42" fontId="72" fillId="0" borderId="0" xfId="1" applyNumberFormat="1" applyFont="1" applyFill="1" applyBorder="1" applyAlignment="1">
      <alignment horizontal="center" vertical="center"/>
    </xf>
    <xf numFmtId="42" fontId="72" fillId="0" borderId="0" xfId="1" applyNumberFormat="1" applyFont="1" applyBorder="1" applyAlignment="1">
      <alignment horizontal="center" vertical="center"/>
    </xf>
    <xf numFmtId="165" fontId="72" fillId="0" borderId="0" xfId="1" applyNumberFormat="1" applyFont="1" applyFill="1" applyBorder="1" applyAlignment="1">
      <alignment vertical="center"/>
    </xf>
    <xf numFmtId="164" fontId="70" fillId="0" borderId="5" xfId="10" applyNumberFormat="1" applyFont="1" applyFill="1" applyBorder="1" applyAlignment="1">
      <alignment horizontal="left" vertical="center"/>
    </xf>
    <xf numFmtId="0" fontId="72" fillId="0" borderId="10" xfId="10" applyFont="1" applyBorder="1" applyAlignment="1">
      <alignment horizontal="center" vertical="center"/>
    </xf>
    <xf numFmtId="42" fontId="70" fillId="0" borderId="3" xfId="1" applyNumberFormat="1" applyFont="1" applyFill="1" applyBorder="1" applyAlignment="1">
      <alignment horizontal="left" vertical="center"/>
    </xf>
    <xf numFmtId="42" fontId="70" fillId="0" borderId="3" xfId="1" applyNumberFormat="1" applyFont="1" applyFill="1" applyBorder="1" applyAlignment="1">
      <alignment horizontal="center" vertical="center"/>
    </xf>
    <xf numFmtId="37" fontId="73" fillId="0" borderId="0" xfId="10" applyNumberFormat="1" applyFont="1" applyFill="1" applyBorder="1" applyAlignment="1">
      <alignment horizontal="left" vertical="center"/>
    </xf>
    <xf numFmtId="0" fontId="73" fillId="0" borderId="0" xfId="10" applyFont="1" applyFill="1" applyBorder="1" applyAlignment="1">
      <alignment vertical="center"/>
    </xf>
    <xf numFmtId="37" fontId="70" fillId="0" borderId="5" xfId="10" applyNumberFormat="1" applyFont="1" applyFill="1" applyBorder="1" applyAlignment="1">
      <alignment horizontal="left" vertical="center"/>
    </xf>
    <xf numFmtId="37" fontId="73" fillId="0" borderId="0" xfId="10" applyNumberFormat="1" applyFont="1" applyFill="1" applyBorder="1" applyAlignment="1">
      <alignment vertical="center"/>
    </xf>
    <xf numFmtId="0" fontId="73" fillId="0" borderId="0" xfId="10" applyFont="1" applyFill="1" applyBorder="1" applyAlignment="1">
      <alignment horizontal="left" vertical="center"/>
    </xf>
    <xf numFmtId="164" fontId="70" fillId="0" borderId="0" xfId="10" applyNumberFormat="1" applyFont="1" applyFill="1" applyBorder="1" applyAlignment="1">
      <alignment horizontal="left" vertical="center"/>
    </xf>
    <xf numFmtId="0" fontId="72" fillId="0" borderId="0" xfId="10" applyFont="1" applyBorder="1" applyAlignment="1">
      <alignment horizontal="center" vertical="center"/>
    </xf>
    <xf numFmtId="42" fontId="70" fillId="0" borderId="0" xfId="1" applyNumberFormat="1" applyFont="1" applyFill="1" applyBorder="1" applyAlignment="1">
      <alignment horizontal="left" vertical="center"/>
    </xf>
    <xf numFmtId="42" fontId="70" fillId="0" borderId="0" xfId="1" applyNumberFormat="1" applyFont="1" applyFill="1" applyBorder="1" applyAlignment="1">
      <alignment horizontal="center" vertical="center"/>
    </xf>
    <xf numFmtId="164" fontId="70" fillId="0" borderId="36" xfId="10" applyNumberFormat="1" applyFont="1" applyFill="1" applyBorder="1" applyAlignment="1">
      <alignment horizontal="left" vertical="center"/>
    </xf>
    <xf numFmtId="164" fontId="72" fillId="0" borderId="37" xfId="10" applyNumberFormat="1" applyFont="1" applyFill="1" applyBorder="1" applyAlignment="1">
      <alignment vertical="center"/>
    </xf>
    <xf numFmtId="42" fontId="70" fillId="0" borderId="39" xfId="1" applyNumberFormat="1" applyFont="1" applyFill="1" applyBorder="1" applyAlignment="1">
      <alignment horizontal="left" vertical="center"/>
    </xf>
    <xf numFmtId="42" fontId="70" fillId="0" borderId="39" xfId="1" applyNumberFormat="1" applyFont="1" applyFill="1" applyBorder="1" applyAlignment="1">
      <alignment horizontal="center" vertical="center"/>
    </xf>
    <xf numFmtId="0" fontId="75" fillId="0" borderId="0" xfId="10" applyFont="1" applyFill="1" applyBorder="1" applyAlignment="1">
      <alignment horizontal="left" vertical="center"/>
    </xf>
    <xf numFmtId="0" fontId="77" fillId="0" borderId="0" xfId="10" applyFont="1" applyFill="1" applyBorder="1" applyAlignment="1">
      <alignment horizontal="left" vertical="center"/>
    </xf>
    <xf numFmtId="164" fontId="73" fillId="0" borderId="0" xfId="10" applyNumberFormat="1" applyFont="1" applyFill="1" applyBorder="1" applyAlignment="1">
      <alignment horizontal="left" vertical="center"/>
    </xf>
    <xf numFmtId="164" fontId="73" fillId="0" borderId="0" xfId="10" applyNumberFormat="1" applyFont="1" applyFill="1" applyBorder="1" applyAlignment="1">
      <alignment horizontal="center" vertical="center"/>
    </xf>
    <xf numFmtId="164" fontId="72" fillId="0" borderId="13" xfId="1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left" vertical="center"/>
    </xf>
    <xf numFmtId="43" fontId="25" fillId="0" borderId="0" xfId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horizontal="left" vertical="center"/>
    </xf>
    <xf numFmtId="0" fontId="70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3" fontId="72" fillId="0" borderId="0" xfId="0" applyNumberFormat="1" applyFont="1" applyFill="1" applyAlignment="1">
      <alignment vertical="center"/>
    </xf>
    <xf numFmtId="3" fontId="72" fillId="0" borderId="0" xfId="0" applyNumberFormat="1" applyFont="1" applyFill="1" applyAlignment="1">
      <alignment horizontal="left" vertical="center"/>
    </xf>
    <xf numFmtId="0" fontId="72" fillId="0" borderId="0" xfId="0" applyFont="1" applyFill="1" applyAlignment="1">
      <alignment vertical="top" wrapText="1"/>
    </xf>
    <xf numFmtId="2" fontId="55" fillId="0" borderId="0" xfId="0" applyNumberFormat="1" applyFont="1" applyFill="1"/>
    <xf numFmtId="2" fontId="25" fillId="0" borderId="0" xfId="0" applyNumberFormat="1" applyFont="1" applyFill="1"/>
    <xf numFmtId="2" fontId="60" fillId="0" borderId="0" xfId="0" applyNumberFormat="1" applyFont="1" applyFill="1"/>
    <xf numFmtId="44" fontId="60" fillId="0" borderId="0" xfId="0" applyNumberFormat="1" applyFont="1" applyFill="1"/>
    <xf numFmtId="0" fontId="75" fillId="0" borderId="0" xfId="0" applyFont="1" applyFill="1" applyBorder="1" applyAlignment="1">
      <alignment horizontal="centerContinuous"/>
    </xf>
    <xf numFmtId="0" fontId="70" fillId="0" borderId="0" xfId="0" applyFont="1" applyFill="1" applyBorder="1" applyAlignment="1">
      <alignment horizontal="centerContinuous"/>
    </xf>
    <xf numFmtId="0" fontId="72" fillId="0" borderId="0" xfId="0" applyFont="1" applyFill="1"/>
    <xf numFmtId="0" fontId="70" fillId="0" borderId="0" xfId="0" applyFont="1" applyFill="1" applyAlignment="1">
      <alignment horizontal="center"/>
    </xf>
    <xf numFmtId="3" fontId="72" fillId="0" borderId="0" xfId="0" applyNumberFormat="1" applyFont="1" applyFill="1" applyAlignment="1"/>
    <xf numFmtId="3" fontId="72" fillId="0" borderId="0" xfId="0" applyNumberFormat="1" applyFont="1" applyFill="1"/>
    <xf numFmtId="0" fontId="70" fillId="3" borderId="9" xfId="0" applyFont="1" applyFill="1" applyBorder="1"/>
    <xf numFmtId="3" fontId="70" fillId="3" borderId="9" xfId="0" applyNumberFormat="1" applyFont="1" applyFill="1" applyBorder="1" applyAlignment="1">
      <alignment horizontal="center"/>
    </xf>
    <xf numFmtId="3" fontId="70" fillId="3" borderId="7" xfId="0" applyNumberFormat="1" applyFont="1" applyFill="1" applyBorder="1"/>
    <xf numFmtId="3" fontId="70" fillId="5" borderId="7" xfId="0" applyNumberFormat="1" applyFont="1" applyFill="1" applyBorder="1" applyAlignment="1">
      <alignment horizontal="center"/>
    </xf>
    <xf numFmtId="3" fontId="70" fillId="3" borderId="7" xfId="0" applyNumberFormat="1" applyFont="1" applyFill="1" applyBorder="1" applyAlignment="1">
      <alignment horizontal="center"/>
    </xf>
    <xf numFmtId="3" fontId="70" fillId="0" borderId="7" xfId="0" applyNumberFormat="1" applyFont="1" applyFill="1" applyBorder="1" applyAlignment="1">
      <alignment horizontal="center"/>
    </xf>
    <xf numFmtId="0" fontId="70" fillId="3" borderId="12" xfId="11" applyFont="1" applyFill="1" applyBorder="1" applyAlignment="1">
      <alignment horizontal="center"/>
    </xf>
    <xf numFmtId="3" fontId="70" fillId="3" borderId="12" xfId="11" applyNumberFormat="1" applyFont="1" applyFill="1" applyBorder="1" applyAlignment="1">
      <alignment horizontal="center"/>
    </xf>
    <xf numFmtId="3" fontId="70" fillId="3" borderId="24" xfId="11" applyNumberFormat="1" applyFont="1" applyFill="1" applyBorder="1" applyAlignment="1">
      <alignment horizontal="center"/>
    </xf>
    <xf numFmtId="3" fontId="70" fillId="5" borderId="24" xfId="11" applyNumberFormat="1" applyFont="1" applyFill="1" applyBorder="1" applyAlignment="1">
      <alignment horizontal="center"/>
    </xf>
    <xf numFmtId="3" fontId="70" fillId="3" borderId="24" xfId="0" applyNumberFormat="1" applyFont="1" applyFill="1" applyBorder="1" applyAlignment="1">
      <alignment horizontal="center"/>
    </xf>
    <xf numFmtId="3" fontId="70" fillId="0" borderId="24" xfId="0" applyNumberFormat="1" applyFont="1" applyFill="1" applyBorder="1" applyAlignment="1">
      <alignment horizontal="center"/>
    </xf>
    <xf numFmtId="0" fontId="70" fillId="0" borderId="0" xfId="11" applyFont="1" applyFill="1" applyBorder="1" applyAlignment="1">
      <alignment horizontal="center"/>
    </xf>
    <xf numFmtId="3" fontId="70" fillId="0" borderId="0" xfId="11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0" fontId="73" fillId="0" borderId="0" xfId="10" applyFont="1" applyFill="1" applyBorder="1" applyAlignment="1">
      <alignment horizontal="left"/>
    </xf>
    <xf numFmtId="3" fontId="73" fillId="0" borderId="0" xfId="10" quotePrefix="1" applyNumberFormat="1" applyFont="1" applyFill="1" applyBorder="1" applyAlignment="1">
      <alignment horizontal="center"/>
    </xf>
    <xf numFmtId="42" fontId="72" fillId="0" borderId="0" xfId="0" applyNumberFormat="1" applyFont="1" applyFill="1" applyBorder="1" applyAlignment="1"/>
    <xf numFmtId="43" fontId="72" fillId="0" borderId="0" xfId="1" applyFont="1" applyFill="1"/>
    <xf numFmtId="1" fontId="73" fillId="0" borderId="0" xfId="10" quotePrefix="1" applyNumberFormat="1" applyFont="1" applyFill="1" applyBorder="1" applyAlignment="1">
      <alignment horizontal="center"/>
    </xf>
    <xf numFmtId="164" fontId="70" fillId="0" borderId="5" xfId="10" applyNumberFormat="1" applyFont="1" applyFill="1" applyBorder="1" applyAlignment="1">
      <alignment horizontal="left" indent="3"/>
    </xf>
    <xf numFmtId="164" fontId="75" fillId="0" borderId="10" xfId="10" quotePrefix="1" applyNumberFormat="1" applyFont="1" applyFill="1" applyBorder="1" applyAlignment="1">
      <alignment horizontal="center"/>
    </xf>
    <xf numFmtId="42" fontId="70" fillId="0" borderId="3" xfId="0" applyNumberFormat="1" applyFont="1" applyFill="1" applyBorder="1" applyAlignment="1"/>
    <xf numFmtId="164" fontId="75" fillId="0" borderId="0" xfId="10" applyNumberFormat="1" applyFont="1" applyFill="1" applyBorder="1" applyAlignment="1">
      <alignment horizontal="left" indent="3"/>
    </xf>
    <xf numFmtId="164" fontId="75" fillId="0" borderId="0" xfId="10" quotePrefix="1" applyNumberFormat="1" applyFont="1" applyFill="1" applyBorder="1" applyAlignment="1">
      <alignment horizontal="center"/>
    </xf>
    <xf numFmtId="42" fontId="70" fillId="0" borderId="0" xfId="0" applyNumberFormat="1" applyFont="1" applyFill="1" applyBorder="1" applyAlignment="1"/>
    <xf numFmtId="0" fontId="73" fillId="0" borderId="0" xfId="0" applyFont="1" applyFill="1" applyBorder="1" applyAlignment="1">
      <alignment horizontal="left"/>
    </xf>
    <xf numFmtId="3" fontId="73" fillId="0" borderId="0" xfId="0" quotePrefix="1" applyNumberFormat="1" applyFont="1" applyFill="1" applyBorder="1" applyAlignment="1">
      <alignment horizontal="center"/>
    </xf>
    <xf numFmtId="164" fontId="75" fillId="0" borderId="10" xfId="10" applyNumberFormat="1" applyFont="1" applyFill="1" applyBorder="1" applyAlignment="1">
      <alignment horizontal="center"/>
    </xf>
    <xf numFmtId="164" fontId="75" fillId="0" borderId="0" xfId="10" applyNumberFormat="1" applyFont="1" applyFill="1" applyBorder="1" applyAlignment="1">
      <alignment horizontal="center"/>
    </xf>
    <xf numFmtId="0" fontId="73" fillId="0" borderId="0" xfId="10" applyFont="1" applyBorder="1"/>
    <xf numFmtId="0" fontId="73" fillId="0" borderId="0" xfId="10" quotePrefix="1" applyFont="1" applyBorder="1" applyAlignment="1">
      <alignment horizontal="center"/>
    </xf>
    <xf numFmtId="0" fontId="73" fillId="0" borderId="0" xfId="10" applyFont="1" applyBorder="1" applyAlignment="1">
      <alignment horizontal="center"/>
    </xf>
    <xf numFmtId="164" fontId="73" fillId="0" borderId="0" xfId="10" applyNumberFormat="1" applyFont="1" applyFill="1" applyBorder="1" applyAlignment="1">
      <alignment horizontal="left"/>
    </xf>
    <xf numFmtId="164" fontId="73" fillId="0" borderId="0" xfId="10" quotePrefix="1" applyNumberFormat="1" applyFont="1" applyFill="1" applyBorder="1" applyAlignment="1">
      <alignment horizontal="center"/>
    </xf>
    <xf numFmtId="0" fontId="73" fillId="0" borderId="0" xfId="10" applyFont="1" applyFill="1" applyBorder="1"/>
    <xf numFmtId="0" fontId="73" fillId="0" borderId="0" xfId="10" quotePrefix="1" applyFont="1" applyFill="1" applyBorder="1" applyAlignment="1">
      <alignment horizontal="center"/>
    </xf>
    <xf numFmtId="0" fontId="73" fillId="0" borderId="0" xfId="10" applyFont="1" applyBorder="1" applyAlignment="1">
      <alignment horizontal="center" wrapText="1"/>
    </xf>
    <xf numFmtId="42" fontId="70" fillId="0" borderId="10" xfId="0" applyNumberFormat="1" applyFont="1" applyFill="1" applyBorder="1" applyAlignment="1"/>
    <xf numFmtId="0" fontId="73" fillId="0" borderId="0" xfId="10" applyFont="1" applyBorder="1" applyAlignment="1">
      <alignment horizontal="left"/>
    </xf>
    <xf numFmtId="164" fontId="70" fillId="0" borderId="10" xfId="10" applyNumberFormat="1" applyFont="1" applyFill="1" applyBorder="1" applyAlignment="1">
      <alignment horizontal="center"/>
    </xf>
    <xf numFmtId="164" fontId="70" fillId="0" borderId="0" xfId="10" applyNumberFormat="1" applyFont="1" applyFill="1" applyBorder="1" applyAlignment="1">
      <alignment horizontal="left" indent="3"/>
    </xf>
    <xf numFmtId="164" fontId="70" fillId="0" borderId="0" xfId="10" applyNumberFormat="1" applyFont="1" applyFill="1" applyBorder="1" applyAlignment="1">
      <alignment horizontal="center"/>
    </xf>
    <xf numFmtId="164" fontId="70" fillId="0" borderId="36" xfId="10" applyNumberFormat="1" applyFont="1" applyFill="1" applyBorder="1"/>
    <xf numFmtId="164" fontId="70" fillId="0" borderId="37" xfId="10" applyNumberFormat="1" applyFont="1" applyFill="1" applyBorder="1" applyAlignment="1">
      <alignment horizontal="center"/>
    </xf>
    <xf numFmtId="42" fontId="70" fillId="0" borderId="37" xfId="0" applyNumberFormat="1" applyFont="1" applyFill="1" applyBorder="1" applyAlignment="1"/>
    <xf numFmtId="42" fontId="70" fillId="0" borderId="39" xfId="0" applyNumberFormat="1" applyFont="1" applyFill="1" applyBorder="1" applyAlignment="1"/>
    <xf numFmtId="0" fontId="75" fillId="0" borderId="0" xfId="0" applyFont="1" applyFill="1" applyAlignment="1">
      <alignment horizontal="centerContinuous"/>
    </xf>
    <xf numFmtId="0" fontId="70" fillId="0" borderId="0" xfId="0" applyFont="1" applyFill="1" applyAlignment="1">
      <alignment horizontal="centerContinuous"/>
    </xf>
    <xf numFmtId="0" fontId="72" fillId="5" borderId="11" xfId="0" applyFont="1" applyFill="1" applyBorder="1" applyAlignment="1">
      <alignment horizontal="center"/>
    </xf>
    <xf numFmtId="0" fontId="72" fillId="5" borderId="7" xfId="0" applyFont="1" applyFill="1" applyBorder="1" applyAlignment="1"/>
    <xf numFmtId="0" fontId="72" fillId="5" borderId="7" xfId="0" applyFont="1" applyFill="1" applyBorder="1" applyAlignment="1">
      <alignment horizontal="center"/>
    </xf>
    <xf numFmtId="0" fontId="72" fillId="5" borderId="8" xfId="0" applyFont="1" applyFill="1" applyBorder="1" applyAlignment="1">
      <alignment horizontal="center"/>
    </xf>
    <xf numFmtId="0" fontId="75" fillId="3" borderId="12" xfId="0" applyFont="1" applyFill="1" applyBorder="1" applyAlignment="1">
      <alignment horizontal="center" vertical="center"/>
    </xf>
    <xf numFmtId="0" fontId="75" fillId="3" borderId="4" xfId="0" applyFont="1" applyFill="1" applyBorder="1" applyAlignment="1">
      <alignment horizontal="center" vertical="center"/>
    </xf>
    <xf numFmtId="3" fontId="70" fillId="3" borderId="24" xfId="0" applyNumberFormat="1" applyFont="1" applyFill="1" applyBorder="1" applyAlignment="1">
      <alignment horizontal="center" vertical="center"/>
    </xf>
    <xf numFmtId="3" fontId="75" fillId="3" borderId="4" xfId="0" applyNumberFormat="1" applyFont="1" applyFill="1" applyBorder="1" applyAlignment="1">
      <alignment horizontal="center" vertical="center" wrapText="1"/>
    </xf>
    <xf numFmtId="3" fontId="70" fillId="3" borderId="4" xfId="0" applyNumberFormat="1" applyFont="1" applyFill="1" applyBorder="1" applyAlignment="1">
      <alignment horizontal="center" vertical="center" wrapText="1"/>
    </xf>
    <xf numFmtId="3" fontId="70" fillId="3" borderId="13" xfId="0" applyNumberFormat="1" applyFont="1" applyFill="1" applyBorder="1" applyAlignment="1">
      <alignment horizontal="center" vertical="center" wrapText="1"/>
    </xf>
    <xf numFmtId="3" fontId="70" fillId="3" borderId="24" xfId="0" applyNumberFormat="1" applyFont="1" applyFill="1" applyBorder="1" applyAlignment="1">
      <alignment horizontal="center" vertical="center" wrapText="1"/>
    </xf>
    <xf numFmtId="3" fontId="70" fillId="3" borderId="35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3" fontId="70" fillId="0" borderId="0" xfId="0" applyNumberFormat="1" applyFont="1" applyFill="1" applyBorder="1" applyAlignment="1">
      <alignment horizontal="center" vertical="center"/>
    </xf>
    <xf numFmtId="3" fontId="75" fillId="0" borderId="0" xfId="0" applyNumberFormat="1" applyFont="1" applyFill="1" applyBorder="1" applyAlignment="1">
      <alignment horizontal="center" vertical="center" wrapText="1"/>
    </xf>
    <xf numFmtId="3" fontId="70" fillId="0" borderId="0" xfId="0" applyNumberFormat="1" applyFont="1" applyFill="1" applyBorder="1" applyAlignment="1">
      <alignment horizontal="center" vertical="center" wrapText="1"/>
    </xf>
    <xf numFmtId="42" fontId="72" fillId="0" borderId="0" xfId="0" applyNumberFormat="1" applyFont="1" applyFill="1" applyBorder="1" applyAlignment="1">
      <alignment horizontal="right" vertical="center"/>
    </xf>
    <xf numFmtId="42" fontId="70" fillId="0" borderId="3" xfId="0" applyNumberFormat="1" applyFont="1" applyFill="1" applyBorder="1" applyAlignment="1">
      <alignment horizontal="right" vertical="center"/>
    </xf>
    <xf numFmtId="5" fontId="70" fillId="0" borderId="0" xfId="0" applyNumberFormat="1" applyFont="1" applyFill="1" applyBorder="1" applyAlignment="1">
      <alignment horizontal="left" vertical="center"/>
    </xf>
    <xf numFmtId="37" fontId="70" fillId="0" borderId="0" xfId="0" applyNumberFormat="1" applyFont="1" applyFill="1" applyBorder="1" applyAlignment="1">
      <alignment horizontal="left" vertical="center"/>
    </xf>
    <xf numFmtId="164" fontId="75" fillId="0" borderId="38" xfId="10" applyNumberFormat="1" applyFont="1" applyFill="1" applyBorder="1" applyAlignment="1">
      <alignment horizontal="left" vertical="center"/>
    </xf>
    <xf numFmtId="42" fontId="70" fillId="0" borderId="38" xfId="0" applyNumberFormat="1" applyFont="1" applyFill="1" applyBorder="1" applyAlignment="1">
      <alignment horizontal="left" vertical="center"/>
    </xf>
    <xf numFmtId="42" fontId="70" fillId="0" borderId="37" xfId="0" applyNumberFormat="1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/>
    </xf>
    <xf numFmtId="0" fontId="72" fillId="5" borderId="9" xfId="0" applyFont="1" applyFill="1" applyBorder="1" applyAlignment="1">
      <alignment horizontal="center"/>
    </xf>
    <xf numFmtId="0" fontId="75" fillId="0" borderId="0" xfId="3" applyFont="1" applyFill="1" applyAlignment="1">
      <alignment horizontal="centerContinuous"/>
    </xf>
    <xf numFmtId="0" fontId="70" fillId="0" borderId="0" xfId="3" applyFont="1" applyFill="1" applyAlignment="1">
      <alignment horizontal="centerContinuous"/>
    </xf>
    <xf numFmtId="0" fontId="78" fillId="0" borderId="0" xfId="3" applyFont="1" applyFill="1" applyAlignment="1">
      <alignment horizontal="center"/>
    </xf>
    <xf numFmtId="49" fontId="78" fillId="0" borderId="0" xfId="3" applyNumberFormat="1" applyFont="1" applyFill="1" applyAlignment="1">
      <alignment horizontal="left" indent="1"/>
    </xf>
    <xf numFmtId="0" fontId="70" fillId="3" borderId="0" xfId="3" applyFont="1" applyFill="1" applyBorder="1" applyAlignment="1">
      <alignment horizontal="center" wrapText="1"/>
    </xf>
    <xf numFmtId="0" fontId="25" fillId="0" borderId="0" xfId="3" applyFont="1" applyFill="1" applyAlignment="1">
      <alignment wrapText="1"/>
    </xf>
    <xf numFmtId="0" fontId="72" fillId="0" borderId="0" xfId="3" applyFont="1" applyFill="1" applyBorder="1"/>
    <xf numFmtId="49" fontId="72" fillId="0" borderId="0" xfId="3" applyNumberFormat="1" applyFont="1" applyFill="1" applyBorder="1" applyAlignment="1">
      <alignment horizontal="left" indent="1"/>
    </xf>
    <xf numFmtId="0" fontId="72" fillId="0" borderId="0" xfId="3" applyFont="1" applyFill="1"/>
    <xf numFmtId="0" fontId="73" fillId="0" borderId="0" xfId="1" quotePrefix="1" applyNumberFormat="1" applyFont="1" applyFill="1" applyBorder="1" applyAlignment="1">
      <alignment vertical="top"/>
    </xf>
    <xf numFmtId="165" fontId="73" fillId="0" borderId="0" xfId="1" applyNumberFormat="1" applyFont="1" applyFill="1" applyBorder="1" applyAlignment="1">
      <alignment vertical="top" wrapText="1"/>
    </xf>
    <xf numFmtId="166" fontId="72" fillId="0" borderId="0" xfId="2" applyNumberFormat="1" applyFont="1" applyFill="1" applyBorder="1"/>
    <xf numFmtId="49" fontId="72" fillId="0" borderId="0" xfId="2" applyNumberFormat="1" applyFont="1" applyFill="1" applyBorder="1" applyAlignment="1">
      <alignment horizontal="center"/>
    </xf>
    <xf numFmtId="43" fontId="79" fillId="0" borderId="0" xfId="1" applyFont="1" applyFill="1"/>
    <xf numFmtId="49" fontId="72" fillId="0" borderId="0" xfId="1" applyNumberFormat="1" applyFont="1" applyFill="1" applyBorder="1" applyAlignment="1">
      <alignment horizontal="center"/>
    </xf>
    <xf numFmtId="0" fontId="70" fillId="0" borderId="3" xfId="3" applyFont="1" applyFill="1" applyBorder="1" applyAlignment="1"/>
    <xf numFmtId="0" fontId="75" fillId="0" borderId="3" xfId="3" applyFont="1" applyFill="1" applyBorder="1"/>
    <xf numFmtId="166" fontId="70" fillId="0" borderId="3" xfId="2" applyNumberFormat="1" applyFont="1" applyFill="1" applyBorder="1"/>
    <xf numFmtId="165" fontId="80" fillId="0" borderId="0" xfId="1" applyNumberFormat="1" applyFont="1" applyFill="1" applyBorder="1"/>
    <xf numFmtId="165" fontId="78" fillId="0" borderId="0" xfId="1" applyNumberFormat="1" applyFont="1" applyFill="1" applyBorder="1" applyAlignment="1">
      <alignment horizontal="center"/>
    </xf>
    <xf numFmtId="165" fontId="81" fillId="0" borderId="0" xfId="1" applyNumberFormat="1" applyFont="1" applyFill="1" applyBorder="1"/>
    <xf numFmtId="49" fontId="80" fillId="0" borderId="0" xfId="1" applyNumberFormat="1" applyFont="1" applyFill="1" applyBorder="1" applyAlignment="1">
      <alignment horizontal="center"/>
    </xf>
    <xf numFmtId="43" fontId="80" fillId="0" borderId="0" xfId="1" applyFont="1" applyFill="1" applyBorder="1" applyAlignment="1">
      <alignment horizontal="center"/>
    </xf>
    <xf numFmtId="0" fontId="70" fillId="0" borderId="39" xfId="3" applyFont="1" applyFill="1" applyBorder="1"/>
    <xf numFmtId="0" fontId="75" fillId="0" borderId="39" xfId="3" applyFont="1" applyFill="1" applyBorder="1"/>
    <xf numFmtId="166" fontId="70" fillId="0" borderId="39" xfId="2" applyNumberFormat="1" applyFont="1" applyFill="1" applyBorder="1"/>
    <xf numFmtId="0" fontId="77" fillId="0" borderId="0" xfId="3" applyFont="1" applyFill="1" applyBorder="1"/>
    <xf numFmtId="0" fontId="75" fillId="0" borderId="0" xfId="3" applyFont="1" applyFill="1" applyBorder="1"/>
    <xf numFmtId="166" fontId="70" fillId="0" borderId="0" xfId="2" applyNumberFormat="1" applyFont="1" applyFill="1" applyBorder="1"/>
    <xf numFmtId="49" fontId="70" fillId="0" borderId="0" xfId="2" applyNumberFormat="1" applyFont="1" applyFill="1" applyBorder="1" applyAlignment="1">
      <alignment horizontal="center"/>
    </xf>
    <xf numFmtId="43" fontId="70" fillId="0" borderId="0" xfId="1" applyFont="1" applyFill="1" applyBorder="1" applyAlignment="1">
      <alignment horizontal="center"/>
    </xf>
    <xf numFmtId="0" fontId="73" fillId="0" borderId="0" xfId="3" applyFont="1" applyFill="1" applyBorder="1" applyAlignment="1">
      <alignment horizontal="left" indent="1"/>
    </xf>
    <xf numFmtId="0" fontId="73" fillId="0" borderId="0" xfId="3" applyFont="1" applyFill="1" applyBorder="1"/>
    <xf numFmtId="0" fontId="75" fillId="0" borderId="0" xfId="3" applyFont="1" applyFill="1" applyBorder="1" applyAlignment="1">
      <alignment horizontal="left" indent="1"/>
    </xf>
    <xf numFmtId="166" fontId="73" fillId="0" borderId="0" xfId="2" applyNumberFormat="1" applyFont="1" applyFill="1" applyBorder="1"/>
    <xf numFmtId="49" fontId="73" fillId="0" borderId="0" xfId="2" applyNumberFormat="1" applyFont="1" applyFill="1" applyBorder="1" applyAlignment="1">
      <alignment horizontal="center"/>
    </xf>
    <xf numFmtId="0" fontId="72" fillId="0" borderId="0" xfId="3" applyFont="1" applyFill="1" applyBorder="1" applyAlignment="1">
      <alignment horizontal="left" indent="1"/>
    </xf>
    <xf numFmtId="165" fontId="72" fillId="0" borderId="0" xfId="1" applyNumberFormat="1" applyFont="1" applyFill="1" applyBorder="1"/>
    <xf numFmtId="166" fontId="79" fillId="0" borderId="0" xfId="3" applyNumberFormat="1" applyFont="1" applyFill="1" applyBorder="1"/>
    <xf numFmtId="0" fontId="70" fillId="0" borderId="0" xfId="3" applyFont="1" applyFill="1" applyBorder="1"/>
    <xf numFmtId="0" fontId="73" fillId="0" borderId="0" xfId="3" applyNumberFormat="1" applyFont="1" applyFill="1" applyAlignment="1">
      <alignment horizontal="left"/>
    </xf>
    <xf numFmtId="49" fontId="73" fillId="0" borderId="0" xfId="3" applyNumberFormat="1" applyFont="1" applyFill="1" applyAlignment="1">
      <alignment wrapText="1"/>
    </xf>
    <xf numFmtId="43" fontId="73" fillId="0" borderId="0" xfId="1" applyFont="1" applyFill="1" applyAlignment="1">
      <alignment wrapText="1"/>
    </xf>
    <xf numFmtId="0" fontId="72" fillId="0" borderId="0" xfId="0" applyFont="1"/>
    <xf numFmtId="49" fontId="73" fillId="0" borderId="0" xfId="3" applyNumberFormat="1" applyFont="1" applyFill="1" applyAlignment="1">
      <alignment horizontal="left" wrapText="1"/>
    </xf>
    <xf numFmtId="0" fontId="72" fillId="0" borderId="0" xfId="4300" applyFont="1" applyFill="1"/>
    <xf numFmtId="0" fontId="70" fillId="0" borderId="0" xfId="4300" applyFont="1" applyAlignment="1">
      <alignment horizontal="left"/>
    </xf>
    <xf numFmtId="0" fontId="70" fillId="0" borderId="0" xfId="4300" applyFont="1" applyAlignment="1"/>
    <xf numFmtId="49" fontId="70" fillId="0" borderId="0" xfId="4300" applyNumberFormat="1" applyFont="1" applyAlignment="1">
      <alignment horizontal="left"/>
    </xf>
    <xf numFmtId="0" fontId="70" fillId="0" borderId="0" xfId="4300" applyFont="1" applyAlignment="1">
      <alignment horizontal="center"/>
    </xf>
    <xf numFmtId="41" fontId="70" fillId="0" borderId="0" xfId="4300" applyNumberFormat="1" applyFont="1" applyAlignment="1">
      <alignment horizontal="center"/>
    </xf>
    <xf numFmtId="38" fontId="72" fillId="0" borderId="50" xfId="4300" applyNumberFormat="1" applyFont="1" applyBorder="1" applyAlignment="1">
      <alignment horizontal="center"/>
    </xf>
    <xf numFmtId="38" fontId="72" fillId="0" borderId="40" xfId="4300" applyNumberFormat="1" applyFont="1" applyBorder="1" applyAlignment="1">
      <alignment horizontal="center"/>
    </xf>
    <xf numFmtId="38" fontId="72" fillId="0" borderId="40" xfId="4300" applyNumberFormat="1" applyFont="1" applyFill="1" applyBorder="1" applyAlignment="1">
      <alignment horizontal="center"/>
    </xf>
    <xf numFmtId="38" fontId="72" fillId="0" borderId="41" xfId="4300" applyNumberFormat="1" applyFont="1" applyBorder="1" applyAlignment="1">
      <alignment horizontal="center"/>
    </xf>
    <xf numFmtId="38" fontId="72" fillId="0" borderId="0" xfId="4300" applyNumberFormat="1" applyFont="1" applyBorder="1" applyAlignment="1">
      <alignment horizontal="center" vertical="center" wrapText="1"/>
    </xf>
    <xf numFmtId="38" fontId="72" fillId="0" borderId="56" xfId="4300" applyNumberFormat="1" applyFont="1" applyBorder="1" applyAlignment="1">
      <alignment horizontal="center" vertical="center" wrapText="1"/>
    </xf>
    <xf numFmtId="38" fontId="72" fillId="0" borderId="42" xfId="4300" applyNumberFormat="1" applyFont="1" applyBorder="1" applyAlignment="1">
      <alignment horizontal="center" vertical="center" wrapText="1"/>
    </xf>
    <xf numFmtId="38" fontId="72" fillId="0" borderId="42" xfId="4300" applyNumberFormat="1" applyFont="1" applyFill="1" applyBorder="1" applyAlignment="1">
      <alignment horizontal="center" vertical="center" wrapText="1"/>
    </xf>
    <xf numFmtId="38" fontId="72" fillId="0" borderId="43" xfId="4300" applyNumberFormat="1" applyFont="1" applyBorder="1" applyAlignment="1">
      <alignment horizontal="center" vertical="center"/>
    </xf>
    <xf numFmtId="0" fontId="70" fillId="0" borderId="47" xfId="4300" applyFont="1" applyBorder="1" applyAlignment="1">
      <alignment horizontal="center"/>
    </xf>
    <xf numFmtId="0" fontId="70" fillId="28" borderId="57" xfId="4300" applyFont="1" applyFill="1" applyBorder="1" applyAlignment="1">
      <alignment horizontal="center"/>
    </xf>
    <xf numFmtId="41" fontId="72" fillId="0" borderId="58" xfId="4300" applyNumberFormat="1" applyFont="1" applyBorder="1"/>
    <xf numFmtId="41" fontId="72" fillId="0" borderId="59" xfId="4300" applyNumberFormat="1" applyFont="1" applyBorder="1"/>
    <xf numFmtId="41" fontId="72" fillId="0" borderId="60" xfId="4300" applyNumberFormat="1" applyFont="1" applyBorder="1"/>
    <xf numFmtId="41" fontId="72" fillId="0" borderId="58" xfId="4300" applyNumberFormat="1" applyFont="1" applyFill="1" applyBorder="1"/>
    <xf numFmtId="41" fontId="72" fillId="0" borderId="61" xfId="4300" applyNumberFormat="1" applyFont="1" applyFill="1" applyBorder="1"/>
    <xf numFmtId="41" fontId="72" fillId="0" borderId="62" xfId="4300" applyNumberFormat="1" applyFont="1" applyFill="1" applyBorder="1"/>
    <xf numFmtId="0" fontId="70" fillId="0" borderId="3" xfId="4300" applyFont="1" applyBorder="1" applyAlignment="1">
      <alignment horizontal="center"/>
    </xf>
    <xf numFmtId="0" fontId="72" fillId="0" borderId="3" xfId="4300" applyFont="1" applyFill="1" applyBorder="1" applyAlignment="1">
      <alignment vertical="center" wrapText="1"/>
    </xf>
    <xf numFmtId="0" fontId="72" fillId="0" borderId="7" xfId="4300" applyFont="1" applyFill="1" applyBorder="1" applyAlignment="1">
      <alignment vertical="center" wrapText="1"/>
    </xf>
    <xf numFmtId="41" fontId="72" fillId="0" borderId="6" xfId="4300" applyNumberFormat="1" applyFont="1" applyFill="1" applyBorder="1"/>
    <xf numFmtId="41" fontId="72" fillId="0" borderId="3" xfId="4300" applyNumberFormat="1" applyFont="1" applyFill="1" applyBorder="1"/>
    <xf numFmtId="0" fontId="70" fillId="0" borderId="3" xfId="4300" applyFont="1" applyFill="1" applyBorder="1" applyAlignment="1">
      <alignment horizontal="center" vertical="center"/>
    </xf>
    <xf numFmtId="0" fontId="72" fillId="0" borderId="10" xfId="4300" applyFont="1" applyFill="1" applyBorder="1" applyAlignment="1">
      <alignment vertical="center" wrapText="1"/>
    </xf>
    <xf numFmtId="43" fontId="72" fillId="0" borderId="3" xfId="4300" applyNumberFormat="1" applyFont="1" applyFill="1" applyBorder="1"/>
    <xf numFmtId="0" fontId="70" fillId="0" borderId="7" xfId="4300" applyFont="1" applyBorder="1" applyAlignment="1">
      <alignment horizontal="center"/>
    </xf>
    <xf numFmtId="0" fontId="70" fillId="28" borderId="47" xfId="4300" applyFont="1" applyFill="1" applyBorder="1" applyAlignment="1">
      <alignment horizontal="center"/>
    </xf>
    <xf numFmtId="0" fontId="70" fillId="28" borderId="49" xfId="4300" applyFont="1" applyFill="1" applyBorder="1" applyAlignment="1">
      <alignment horizontal="center" wrapText="1"/>
    </xf>
    <xf numFmtId="41" fontId="70" fillId="28" borderId="44" xfId="4300" applyNumberFormat="1" applyFont="1" applyFill="1" applyBorder="1"/>
    <xf numFmtId="0" fontId="72" fillId="0" borderId="30" xfId="4300" applyFont="1" applyBorder="1"/>
    <xf numFmtId="0" fontId="75" fillId="0" borderId="48" xfId="4300" applyFont="1" applyFill="1" applyBorder="1" applyAlignment="1">
      <alignment horizontal="right" wrapText="1"/>
    </xf>
    <xf numFmtId="41" fontId="72" fillId="0" borderId="45" xfId="4300" applyNumberFormat="1" applyFont="1" applyBorder="1"/>
    <xf numFmtId="41" fontId="72" fillId="0" borderId="63" xfId="4300" applyNumberFormat="1" applyFont="1" applyBorder="1"/>
    <xf numFmtId="0" fontId="75" fillId="0" borderId="0" xfId="4300" applyFont="1" applyFill="1" applyBorder="1" applyAlignment="1">
      <alignment horizontal="right" wrapText="1"/>
    </xf>
    <xf numFmtId="41" fontId="72" fillId="0" borderId="46" xfId="4300" applyNumberFormat="1" applyFont="1" applyBorder="1"/>
    <xf numFmtId="41" fontId="72" fillId="0" borderId="31" xfId="4300" applyNumberFormat="1" applyFont="1" applyBorder="1"/>
    <xf numFmtId="0" fontId="72" fillId="28" borderId="47" xfId="4300" applyFont="1" applyFill="1" applyBorder="1"/>
    <xf numFmtId="0" fontId="72" fillId="0" borderId="0" xfId="4300" applyFont="1" applyAlignment="1">
      <alignment horizontal="center"/>
    </xf>
    <xf numFmtId="0" fontId="72" fillId="0" borderId="0" xfId="4300" applyFont="1" applyFill="1" applyBorder="1"/>
    <xf numFmtId="38" fontId="70" fillId="0" borderId="0" xfId="4300" applyNumberFormat="1" applyFont="1" applyBorder="1"/>
    <xf numFmtId="0" fontId="72" fillId="0" borderId="0" xfId="0" applyFont="1" applyFill="1" applyBorder="1"/>
    <xf numFmtId="0" fontId="72" fillId="0" borderId="2" xfId="0" applyFont="1" applyFill="1" applyBorder="1" applyAlignment="1">
      <alignment shrinkToFit="1"/>
    </xf>
    <xf numFmtId="165" fontId="72" fillId="0" borderId="6" xfId="13" applyNumberFormat="1" applyFont="1" applyFill="1" applyBorder="1"/>
    <xf numFmtId="39" fontId="72" fillId="0" borderId="6" xfId="13" applyNumberFormat="1" applyFont="1" applyFill="1" applyBorder="1" applyAlignment="1">
      <alignment horizontal="right"/>
    </xf>
    <xf numFmtId="167" fontId="72" fillId="0" borderId="6" xfId="13" applyNumberFormat="1" applyFont="1" applyFill="1" applyBorder="1" applyAlignment="1">
      <alignment horizontal="center"/>
    </xf>
    <xf numFmtId="167" fontId="72" fillId="0" borderId="6" xfId="13" applyNumberFormat="1" applyFont="1" applyFill="1" applyBorder="1"/>
    <xf numFmtId="165" fontId="72" fillId="0" borderId="6" xfId="13" applyNumberFormat="1" applyFont="1" applyFill="1" applyBorder="1" applyAlignment="1">
      <alignment horizontal="center"/>
    </xf>
    <xf numFmtId="165" fontId="72" fillId="0" borderId="6" xfId="13" applyNumberFormat="1" applyFont="1" applyFill="1" applyBorder="1" applyAlignment="1">
      <alignment horizontal="right"/>
    </xf>
    <xf numFmtId="166" fontId="70" fillId="0" borderId="0" xfId="14" applyNumberFormat="1" applyFont="1" applyFill="1" applyBorder="1"/>
    <xf numFmtId="0" fontId="73" fillId="0" borderId="0" xfId="0" applyFont="1" applyFill="1"/>
    <xf numFmtId="0" fontId="72" fillId="0" borderId="0" xfId="0" applyFont="1" applyBorder="1" applyAlignment="1">
      <alignment horizontal="center"/>
    </xf>
    <xf numFmtId="37" fontId="72" fillId="0" borderId="0" xfId="0" applyNumberFormat="1" applyFont="1" applyBorder="1" applyAlignment="1">
      <alignment horizontal="center"/>
    </xf>
    <xf numFmtId="0" fontId="70" fillId="3" borderId="12" xfId="0" applyFont="1" applyFill="1" applyBorder="1" applyAlignment="1">
      <alignment horizontal="center" vertical="center"/>
    </xf>
    <xf numFmtId="0" fontId="70" fillId="3" borderId="4" xfId="0" applyFont="1" applyFill="1" applyBorder="1" applyAlignment="1">
      <alignment horizontal="center" vertical="center"/>
    </xf>
    <xf numFmtId="3" fontId="70" fillId="3" borderId="35" xfId="0" applyNumberFormat="1" applyFont="1" applyFill="1" applyBorder="1" applyAlignment="1">
      <alignment horizontal="center" vertical="center"/>
    </xf>
    <xf numFmtId="3" fontId="75" fillId="3" borderId="10" xfId="0" applyNumberFormat="1" applyFont="1" applyFill="1" applyBorder="1" applyAlignment="1">
      <alignment horizontal="center" vertical="center" wrapText="1"/>
    </xf>
    <xf numFmtId="3" fontId="75" fillId="3" borderId="3" xfId="0" applyNumberFormat="1" applyFont="1" applyFill="1" applyBorder="1" applyAlignment="1">
      <alignment horizontal="center" vertical="center" wrapText="1"/>
    </xf>
    <xf numFmtId="3" fontId="70" fillId="3" borderId="5" xfId="0" applyNumberFormat="1" applyFont="1" applyFill="1" applyBorder="1" applyAlignment="1">
      <alignment horizontal="center" vertical="center" wrapText="1"/>
    </xf>
    <xf numFmtId="42" fontId="72" fillId="0" borderId="0" xfId="0" applyNumberFormat="1" applyFont="1" applyFill="1" applyBorder="1" applyAlignment="1">
      <alignment vertical="center"/>
    </xf>
    <xf numFmtId="42" fontId="70" fillId="0" borderId="3" xfId="0" applyNumberFormat="1" applyFont="1" applyFill="1" applyBorder="1" applyAlignment="1">
      <alignment vertical="center"/>
    </xf>
    <xf numFmtId="164" fontId="70" fillId="0" borderId="0" xfId="0" applyNumberFormat="1" applyFont="1" applyFill="1" applyAlignment="1">
      <alignment vertical="center"/>
    </xf>
    <xf numFmtId="164" fontId="73" fillId="0" borderId="0" xfId="10" applyNumberFormat="1" applyFont="1" applyFill="1" applyBorder="1" applyAlignment="1">
      <alignment vertical="center"/>
    </xf>
    <xf numFmtId="0" fontId="84" fillId="0" borderId="0" xfId="32600" applyFont="1" applyBorder="1" applyAlignment="1">
      <alignment vertical="center"/>
    </xf>
    <xf numFmtId="42" fontId="70" fillId="0" borderId="0" xfId="0" applyNumberFormat="1" applyFont="1" applyFill="1" applyBorder="1" applyAlignment="1">
      <alignment vertical="center"/>
    </xf>
    <xf numFmtId="164" fontId="75" fillId="0" borderId="39" xfId="10" applyNumberFormat="1" applyFont="1" applyFill="1" applyBorder="1" applyAlignment="1">
      <alignment vertical="center"/>
    </xf>
    <xf numFmtId="42" fontId="70" fillId="0" borderId="39" xfId="0" applyNumberFormat="1" applyFont="1" applyFill="1" applyBorder="1" applyAlignment="1">
      <alignment vertical="center"/>
    </xf>
    <xf numFmtId="0" fontId="85" fillId="4" borderId="14" xfId="0" applyFont="1" applyFill="1" applyBorder="1" applyAlignment="1">
      <alignment vertical="center"/>
    </xf>
    <xf numFmtId="167" fontId="72" fillId="0" borderId="7" xfId="16" applyNumberFormat="1" applyFont="1" applyFill="1" applyBorder="1"/>
    <xf numFmtId="167" fontId="72" fillId="0" borderId="6" xfId="16" applyNumberFormat="1" applyFont="1" applyFill="1" applyBorder="1"/>
    <xf numFmtId="167" fontId="70" fillId="0" borderId="3" xfId="16" applyNumberFormat="1" applyFont="1" applyFill="1" applyBorder="1"/>
    <xf numFmtId="167" fontId="70" fillId="0" borderId="3" xfId="16" applyNumberFormat="1" applyFont="1" applyFill="1" applyBorder="1" applyAlignment="1"/>
    <xf numFmtId="0" fontId="72" fillId="0" borderId="0" xfId="4300" applyFont="1" applyFill="1" applyBorder="1" applyAlignment="1">
      <alignment vertical="center" wrapText="1"/>
    </xf>
    <xf numFmtId="43" fontId="72" fillId="0" borderId="33" xfId="4300" applyNumberFormat="1" applyFont="1" applyFill="1" applyBorder="1"/>
    <xf numFmtId="42" fontId="60" fillId="0" borderId="0" xfId="0" applyNumberFormat="1" applyFont="1" applyFill="1" applyBorder="1" applyAlignment="1">
      <alignment vertical="center"/>
    </xf>
    <xf numFmtId="167" fontId="70" fillId="0" borderId="4" xfId="16" applyNumberFormat="1" applyFont="1" applyFill="1" applyBorder="1" applyAlignment="1">
      <alignment horizontal="center"/>
    </xf>
    <xf numFmtId="0" fontId="72" fillId="0" borderId="0" xfId="12" applyFont="1" applyFill="1" applyBorder="1"/>
    <xf numFmtId="3" fontId="73" fillId="0" borderId="0" xfId="0" applyNumberFormat="1" applyFont="1" applyFill="1" applyAlignment="1">
      <alignment vertical="center"/>
    </xf>
    <xf numFmtId="0" fontId="70" fillId="3" borderId="3" xfId="12" applyFont="1" applyFill="1" applyBorder="1"/>
    <xf numFmtId="0" fontId="70" fillId="3" borderId="3" xfId="12" applyFont="1" applyFill="1" applyBorder="1" applyAlignment="1">
      <alignment horizontal="center"/>
    </xf>
    <xf numFmtId="167" fontId="70" fillId="3" borderId="3" xfId="50934" applyNumberFormat="1" applyFont="1" applyFill="1" applyBorder="1" applyAlignment="1">
      <alignment horizontal="center" wrapText="1"/>
    </xf>
    <xf numFmtId="167" fontId="70" fillId="3" borderId="3" xfId="50934" applyNumberFormat="1" applyFont="1" applyFill="1" applyBorder="1" applyAlignment="1">
      <alignment horizontal="center"/>
    </xf>
    <xf numFmtId="167" fontId="70" fillId="3" borderId="3" xfId="16" applyNumberFormat="1" applyFont="1" applyFill="1" applyBorder="1" applyAlignment="1">
      <alignment horizontal="center" wrapText="1"/>
    </xf>
    <xf numFmtId="0" fontId="82" fillId="0" borderId="0" xfId="50935" applyFont="1"/>
    <xf numFmtId="167" fontId="72" fillId="0" borderId="0" xfId="16" applyNumberFormat="1" applyFont="1" applyFill="1"/>
    <xf numFmtId="167" fontId="72" fillId="0" borderId="0" xfId="16" applyNumberFormat="1" applyFont="1" applyFill="1" applyBorder="1"/>
    <xf numFmtId="167" fontId="72" fillId="0" borderId="0" xfId="16" applyNumberFormat="1" applyFont="1" applyBorder="1"/>
    <xf numFmtId="164" fontId="70" fillId="0" borderId="0" xfId="12" applyNumberFormat="1" applyFont="1" applyFill="1"/>
    <xf numFmtId="43" fontId="72" fillId="0" borderId="0" xfId="12" applyNumberFormat="1" applyFont="1" applyFill="1"/>
    <xf numFmtId="0" fontId="70" fillId="0" borderId="0" xfId="12" applyFont="1"/>
    <xf numFmtId="167" fontId="72" fillId="0" borderId="0" xfId="50934" applyNumberFormat="1" applyFont="1" applyFill="1"/>
    <xf numFmtId="0" fontId="73" fillId="0" borderId="0" xfId="4300" applyFont="1"/>
    <xf numFmtId="167" fontId="82" fillId="0" borderId="0" xfId="50935" applyNumberFormat="1" applyFont="1"/>
    <xf numFmtId="0" fontId="73" fillId="0" borderId="0" xfId="50938" applyFont="1"/>
    <xf numFmtId="0" fontId="73" fillId="0" borderId="0" xfId="12" applyFont="1" applyFill="1"/>
    <xf numFmtId="167" fontId="72" fillId="0" borderId="0" xfId="50937" applyNumberFormat="1" applyFont="1" applyFill="1"/>
    <xf numFmtId="41" fontId="70" fillId="28" borderId="60" xfId="4300" applyNumberFormat="1" applyFont="1" applyFill="1" applyBorder="1"/>
    <xf numFmtId="165" fontId="72" fillId="0" borderId="33" xfId="1" applyNumberFormat="1" applyFont="1" applyFill="1" applyBorder="1"/>
    <xf numFmtId="42" fontId="72" fillId="0" borderId="0" xfId="4300" applyNumberFormat="1" applyFont="1"/>
    <xf numFmtId="42" fontId="72" fillId="0" borderId="0" xfId="1" applyNumberFormat="1" applyFont="1" applyFill="1" applyBorder="1" applyAlignment="1">
      <alignment horizontal="center"/>
    </xf>
    <xf numFmtId="42" fontId="70" fillId="0" borderId="3" xfId="1" applyNumberFormat="1" applyFont="1" applyFill="1" applyBorder="1" applyAlignment="1">
      <alignment horizontal="center"/>
    </xf>
    <xf numFmtId="42" fontId="70" fillId="0" borderId="0" xfId="1" applyNumberFormat="1" applyFont="1" applyFill="1" applyBorder="1" applyAlignment="1">
      <alignment horizontal="center"/>
    </xf>
    <xf numFmtId="42" fontId="70" fillId="0" borderId="39" xfId="1" applyNumberFormat="1" applyFont="1" applyFill="1" applyBorder="1" applyAlignment="1">
      <alignment horizontal="center"/>
    </xf>
    <xf numFmtId="0" fontId="73" fillId="0" borderId="0" xfId="0" applyFont="1" applyBorder="1"/>
    <xf numFmtId="0" fontId="70" fillId="0" borderId="11" xfId="0" applyFont="1" applyFill="1" applyBorder="1" applyAlignment="1">
      <alignment horizontal="center" vertical="center"/>
    </xf>
    <xf numFmtId="3" fontId="70" fillId="0" borderId="11" xfId="0" applyNumberFormat="1" applyFont="1" applyFill="1" applyBorder="1" applyAlignment="1">
      <alignment horizontal="center" vertical="center"/>
    </xf>
    <xf numFmtId="3" fontId="75" fillId="0" borderId="11" xfId="0" applyNumberFormat="1" applyFont="1" applyFill="1" applyBorder="1" applyAlignment="1">
      <alignment horizontal="center" vertical="center" wrapText="1"/>
    </xf>
    <xf numFmtId="3" fontId="70" fillId="0" borderId="11" xfId="0" applyNumberFormat="1" applyFont="1" applyFill="1" applyBorder="1" applyAlignment="1">
      <alignment horizontal="center" vertical="center" wrapText="1"/>
    </xf>
    <xf numFmtId="0" fontId="70" fillId="0" borderId="4" xfId="12" applyFont="1" applyBorder="1" applyAlignment="1">
      <alignment horizontal="center"/>
    </xf>
    <xf numFmtId="167" fontId="86" fillId="0" borderId="4" xfId="14204" applyNumberFormat="1" applyFont="1" applyFill="1" applyBorder="1" applyAlignment="1">
      <alignment horizontal="center"/>
    </xf>
    <xf numFmtId="167" fontId="82" fillId="0" borderId="0" xfId="16" applyNumberFormat="1" applyFont="1"/>
    <xf numFmtId="167" fontId="72" fillId="0" borderId="0" xfId="12" applyNumberFormat="1" applyFont="1" applyFill="1"/>
    <xf numFmtId="0" fontId="7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70" fillId="3" borderId="3" xfId="0" applyFont="1" applyFill="1" applyBorder="1" applyAlignment="1">
      <alignment horizontal="center" wrapText="1"/>
    </xf>
    <xf numFmtId="0" fontId="70" fillId="3" borderId="5" xfId="0" applyFont="1" applyFill="1" applyBorder="1" applyAlignment="1">
      <alignment horizontal="center" wrapText="1"/>
    </xf>
    <xf numFmtId="0" fontId="72" fillId="0" borderId="0" xfId="0" applyFont="1" applyAlignment="1">
      <alignment wrapText="1"/>
    </xf>
    <xf numFmtId="0" fontId="72" fillId="0" borderId="6" xfId="0" applyFont="1" applyBorder="1"/>
    <xf numFmtId="0" fontId="72" fillId="0" borderId="2" xfId="0" applyFont="1" applyBorder="1"/>
    <xf numFmtId="0" fontId="72" fillId="0" borderId="6" xfId="0" applyFont="1" applyBorder="1" applyAlignment="1">
      <alignment shrinkToFit="1"/>
    </xf>
    <xf numFmtId="0" fontId="72" fillId="0" borderId="2" xfId="0" applyFont="1" applyBorder="1" applyAlignment="1">
      <alignment shrinkToFit="1"/>
    </xf>
    <xf numFmtId="165" fontId="72" fillId="0" borderId="6" xfId="13" applyNumberFormat="1" applyFont="1" applyBorder="1"/>
    <xf numFmtId="0" fontId="72" fillId="0" borderId="0" xfId="0" applyFont="1" applyBorder="1"/>
    <xf numFmtId="3" fontId="72" fillId="0" borderId="0" xfId="0" applyNumberFormat="1" applyFont="1" applyBorder="1"/>
    <xf numFmtId="0" fontId="70" fillId="0" borderId="0" xfId="0" applyFont="1" applyBorder="1"/>
    <xf numFmtId="3" fontId="70" fillId="0" borderId="0" xfId="0" applyNumberFormat="1" applyFont="1" applyBorder="1"/>
    <xf numFmtId="0" fontId="70" fillId="0" borderId="0" xfId="0" applyFont="1"/>
    <xf numFmtId="166" fontId="70" fillId="0" borderId="0" xfId="14" applyNumberFormat="1" applyFont="1" applyBorder="1"/>
    <xf numFmtId="0" fontId="0" fillId="0" borderId="0" xfId="0" applyFill="1"/>
    <xf numFmtId="41" fontId="71" fillId="0" borderId="0" xfId="4300" applyNumberFormat="1" applyFont="1" applyAlignment="1"/>
    <xf numFmtId="41" fontId="71" fillId="29" borderId="9" xfId="4300" applyNumberFormat="1" applyFont="1" applyFill="1" applyBorder="1" applyAlignment="1">
      <alignment horizontal="left"/>
    </xf>
    <xf numFmtId="41" fontId="71" fillId="29" borderId="8" xfId="4300" applyNumberFormat="1" applyFont="1" applyFill="1" applyBorder="1" applyAlignment="1">
      <alignment horizontal="left"/>
    </xf>
    <xf numFmtId="41" fontId="71" fillId="29" borderId="0" xfId="4300" quotePrefix="1" applyNumberFormat="1" applyFont="1" applyFill="1" applyBorder="1" applyAlignment="1"/>
    <xf numFmtId="41" fontId="71" fillId="29" borderId="2" xfId="4300" applyNumberFormat="1" applyFont="1" applyFill="1" applyBorder="1" applyAlignment="1">
      <alignment horizontal="left"/>
    </xf>
    <xf numFmtId="41" fontId="71" fillId="29" borderId="14" xfId="4300" applyNumberFormat="1" applyFont="1" applyFill="1" applyBorder="1" applyAlignment="1">
      <alignment horizontal="left"/>
    </xf>
    <xf numFmtId="41" fontId="71" fillId="0" borderId="0" xfId="50939" applyNumberFormat="1" applyFont="1" applyAlignment="1"/>
    <xf numFmtId="14" fontId="71" fillId="29" borderId="0" xfId="4300" quotePrefix="1" applyNumberFormat="1" applyFont="1" applyFill="1" applyBorder="1" applyAlignment="1"/>
    <xf numFmtId="41" fontId="71" fillId="0" borderId="0" xfId="4300" applyNumberFormat="1" applyFont="1"/>
    <xf numFmtId="41" fontId="71" fillId="29" borderId="0" xfId="4300" quotePrefix="1" applyNumberFormat="1" applyFont="1" applyFill="1" applyBorder="1"/>
    <xf numFmtId="41" fontId="70" fillId="0" borderId="64" xfId="4300" quotePrefix="1" applyNumberFormat="1" applyFont="1" applyBorder="1" applyAlignment="1">
      <alignment horizontal="center"/>
    </xf>
    <xf numFmtId="41" fontId="71" fillId="0" borderId="0" xfId="4300" quotePrefix="1" applyNumberFormat="1" applyFont="1" applyBorder="1"/>
    <xf numFmtId="41" fontId="71" fillId="0" borderId="0" xfId="4300" applyNumberFormat="1" applyFont="1" applyBorder="1"/>
    <xf numFmtId="41" fontId="18" fillId="0" borderId="0" xfId="4300" applyNumberFormat="1" applyAlignment="1"/>
    <xf numFmtId="41" fontId="18" fillId="29" borderId="9" xfId="4300" applyNumberFormat="1" applyFill="1" applyBorder="1" applyAlignment="1">
      <alignment horizontal="left"/>
    </xf>
    <xf numFmtId="41" fontId="18" fillId="29" borderId="8" xfId="4300" applyNumberFormat="1" applyFill="1" applyBorder="1" applyAlignment="1">
      <alignment horizontal="left"/>
    </xf>
    <xf numFmtId="41" fontId="18" fillId="29" borderId="0" xfId="4300" quotePrefix="1" applyNumberFormat="1" applyFill="1" applyBorder="1" applyAlignment="1"/>
    <xf numFmtId="41" fontId="18" fillId="29" borderId="2" xfId="4300" applyNumberFormat="1" applyFill="1" applyBorder="1" applyAlignment="1">
      <alignment horizontal="left"/>
    </xf>
    <xf numFmtId="41" fontId="18" fillId="29" borderId="14" xfId="4300" applyNumberFormat="1" applyFill="1" applyBorder="1" applyAlignment="1">
      <alignment horizontal="left"/>
    </xf>
    <xf numFmtId="41" fontId="71" fillId="0" borderId="0" xfId="50940" applyNumberFormat="1" applyFont="1" applyAlignment="1"/>
    <xf numFmtId="14" fontId="18" fillId="29" borderId="0" xfId="4300" quotePrefix="1" applyNumberFormat="1" applyFill="1" applyBorder="1" applyAlignment="1"/>
    <xf numFmtId="41" fontId="18" fillId="0" borderId="0" xfId="4300" applyNumberFormat="1"/>
    <xf numFmtId="41" fontId="70" fillId="0" borderId="0" xfId="4300" applyNumberFormat="1" applyFont="1"/>
    <xf numFmtId="43" fontId="0" fillId="0" borderId="0" xfId="1" applyFont="1"/>
    <xf numFmtId="41" fontId="25" fillId="0" borderId="0" xfId="4300" applyNumberFormat="1" applyFont="1"/>
    <xf numFmtId="0" fontId="71" fillId="0" borderId="0" xfId="4300" applyFont="1" applyAlignment="1"/>
    <xf numFmtId="43" fontId="71" fillId="0" borderId="0" xfId="1" applyFont="1" applyAlignment="1"/>
    <xf numFmtId="0" fontId="71" fillId="29" borderId="9" xfId="4300" applyFont="1" applyFill="1" applyBorder="1" applyAlignment="1">
      <alignment horizontal="left"/>
    </xf>
    <xf numFmtId="0" fontId="71" fillId="29" borderId="8" xfId="4300" applyFont="1" applyFill="1" applyBorder="1" applyAlignment="1">
      <alignment horizontal="left"/>
    </xf>
    <xf numFmtId="0" fontId="71" fillId="29" borderId="0" xfId="4300" quotePrefix="1" applyFont="1" applyFill="1" applyBorder="1" applyAlignment="1"/>
    <xf numFmtId="0" fontId="71" fillId="29" borderId="2" xfId="4300" applyFont="1" applyFill="1" applyBorder="1" applyAlignment="1">
      <alignment horizontal="left"/>
    </xf>
    <xf numFmtId="0" fontId="71" fillId="29" borderId="14" xfId="4300" applyFont="1" applyFill="1" applyBorder="1" applyAlignment="1">
      <alignment horizontal="left"/>
    </xf>
    <xf numFmtId="15" fontId="71" fillId="0" borderId="0" xfId="50940" applyNumberFormat="1" applyFont="1" applyAlignment="1"/>
    <xf numFmtId="41" fontId="71" fillId="0" borderId="0" xfId="16" applyNumberFormat="1" applyFont="1" applyAlignment="1"/>
    <xf numFmtId="0" fontId="71" fillId="0" borderId="0" xfId="50940" applyFont="1" applyAlignment="1"/>
    <xf numFmtId="41" fontId="71" fillId="0" borderId="0" xfId="16" applyNumberFormat="1" applyFont="1"/>
    <xf numFmtId="0" fontId="71" fillId="0" borderId="0" xfId="4300" applyFont="1"/>
    <xf numFmtId="43" fontId="71" fillId="0" borderId="0" xfId="1" applyFont="1"/>
    <xf numFmtId="169" fontId="71" fillId="0" borderId="0" xfId="4300" applyNumberFormat="1" applyFont="1"/>
    <xf numFmtId="169" fontId="71" fillId="29" borderId="2" xfId="4300" applyNumberFormat="1" applyFont="1" applyFill="1" applyBorder="1" applyAlignment="1">
      <alignment horizontal="left"/>
    </xf>
    <xf numFmtId="165" fontId="71" fillId="0" borderId="0" xfId="4300" applyNumberFormat="1" applyFont="1"/>
    <xf numFmtId="8" fontId="71" fillId="0" borderId="0" xfId="4300" applyNumberFormat="1" applyFont="1"/>
    <xf numFmtId="0" fontId="71" fillId="0" borderId="0" xfId="4300" applyFont="1" applyFill="1"/>
    <xf numFmtId="43" fontId="71" fillId="0" borderId="0" xfId="1" applyFont="1" applyFill="1"/>
    <xf numFmtId="0" fontId="18" fillId="0" borderId="0" xfId="4300" applyAlignment="1"/>
    <xf numFmtId="0" fontId="18" fillId="29" borderId="9" xfId="4300" applyFill="1" applyBorder="1" applyAlignment="1">
      <alignment horizontal="left"/>
    </xf>
    <xf numFmtId="0" fontId="18" fillId="29" borderId="8" xfId="4300" applyFill="1" applyBorder="1" applyAlignment="1">
      <alignment horizontal="left"/>
    </xf>
    <xf numFmtId="0" fontId="18" fillId="29" borderId="0" xfId="4300" quotePrefix="1" applyFill="1" applyBorder="1" applyAlignment="1"/>
    <xf numFmtId="0" fontId="18" fillId="29" borderId="2" xfId="4300" applyFill="1" applyBorder="1" applyAlignment="1">
      <alignment horizontal="left"/>
    </xf>
    <xf numFmtId="0" fontId="18" fillId="29" borderId="14" xfId="4300" applyFill="1" applyBorder="1" applyAlignment="1">
      <alignment horizontal="left"/>
    </xf>
    <xf numFmtId="14" fontId="18" fillId="29" borderId="0" xfId="4300" quotePrefix="1" applyNumberFormat="1" applyFont="1" applyFill="1" applyBorder="1" applyAlignment="1"/>
    <xf numFmtId="0" fontId="18" fillId="0" borderId="0" xfId="4300"/>
    <xf numFmtId="41" fontId="18" fillId="29" borderId="0" xfId="4300" quotePrefix="1" applyNumberFormat="1" applyFont="1" applyFill="1" applyBorder="1" applyAlignment="1"/>
    <xf numFmtId="169" fontId="18" fillId="0" borderId="0" xfId="4300" applyNumberFormat="1"/>
    <xf numFmtId="169" fontId="18" fillId="29" borderId="2" xfId="4300" applyNumberFormat="1" applyFill="1" applyBorder="1" applyAlignment="1">
      <alignment horizontal="left"/>
    </xf>
    <xf numFmtId="0" fontId="70" fillId="0" borderId="65" xfId="4300" applyFont="1" applyBorder="1" applyAlignment="1">
      <alignment horizontal="center"/>
    </xf>
    <xf numFmtId="0" fontId="72" fillId="0" borderId="65" xfId="4300" applyFont="1" applyFill="1" applyBorder="1" applyAlignment="1">
      <alignment vertical="center" wrapText="1"/>
    </xf>
    <xf numFmtId="41" fontId="72" fillId="0" borderId="66" xfId="4300" applyNumberFormat="1" applyFont="1" applyFill="1" applyBorder="1"/>
    <xf numFmtId="41" fontId="72" fillId="0" borderId="29" xfId="4300" applyNumberFormat="1" applyFont="1" applyFill="1" applyBorder="1"/>
    <xf numFmtId="41" fontId="72" fillId="0" borderId="67" xfId="4300" applyNumberFormat="1" applyFont="1" applyFill="1" applyBorder="1"/>
    <xf numFmtId="41" fontId="70" fillId="28" borderId="67" xfId="4300" applyNumberFormat="1" applyFont="1" applyFill="1" applyBorder="1"/>
    <xf numFmtId="41" fontId="70" fillId="28" borderId="49" xfId="4300" applyNumberFormat="1" applyFont="1" applyFill="1" applyBorder="1"/>
    <xf numFmtId="165" fontId="72" fillId="0" borderId="65" xfId="13" applyNumberFormat="1" applyFont="1" applyFill="1" applyBorder="1"/>
    <xf numFmtId="0" fontId="83" fillId="0" borderId="0" xfId="0" applyFont="1" applyFill="1" applyBorder="1" applyAlignment="1">
      <alignment horizontal="center"/>
    </xf>
    <xf numFmtId="0" fontId="70" fillId="30" borderId="3" xfId="0" applyFont="1" applyFill="1" applyBorder="1" applyAlignment="1">
      <alignment horizontal="center" wrapText="1"/>
    </xf>
    <xf numFmtId="0" fontId="72" fillId="0" borderId="6" xfId="0" applyFont="1" applyFill="1" applyBorder="1"/>
    <xf numFmtId="165" fontId="89" fillId="0" borderId="6" xfId="13" applyNumberFormat="1" applyFont="1" applyFill="1" applyBorder="1"/>
    <xf numFmtId="0" fontId="73" fillId="0" borderId="0" xfId="0" applyFont="1" applyFill="1" applyBorder="1" applyAlignment="1">
      <alignment horizontal="right"/>
    </xf>
    <xf numFmtId="0" fontId="73" fillId="0" borderId="0" xfId="0" applyFont="1" applyFill="1" applyBorder="1"/>
    <xf numFmtId="0" fontId="70" fillId="0" borderId="0" xfId="0" applyFont="1" applyFill="1" applyBorder="1"/>
    <xf numFmtId="165" fontId="71" fillId="0" borderId="6" xfId="13" applyNumberFormat="1" applyFont="1" applyFill="1" applyBorder="1"/>
    <xf numFmtId="0" fontId="72" fillId="0" borderId="65" xfId="0" applyFont="1" applyBorder="1" applyAlignment="1">
      <alignment shrinkToFit="1"/>
    </xf>
    <xf numFmtId="0" fontId="72" fillId="0" borderId="68" xfId="0" applyFont="1" applyBorder="1" applyAlignment="1">
      <alignment shrinkToFit="1"/>
    </xf>
    <xf numFmtId="165" fontId="72" fillId="0" borderId="65" xfId="13" applyNumberFormat="1" applyFont="1" applyBorder="1"/>
    <xf numFmtId="41" fontId="71" fillId="29" borderId="68" xfId="4300" applyNumberFormat="1" applyFont="1" applyFill="1" applyBorder="1" applyAlignment="1">
      <alignment horizontal="left"/>
    </xf>
    <xf numFmtId="41" fontId="71" fillId="0" borderId="69" xfId="4300" applyNumberFormat="1" applyFont="1" applyBorder="1"/>
    <xf numFmtId="41" fontId="18" fillId="29" borderId="68" xfId="4300" applyNumberFormat="1" applyFill="1" applyBorder="1" applyAlignment="1">
      <alignment horizontal="left"/>
    </xf>
    <xf numFmtId="41" fontId="18" fillId="0" borderId="69" xfId="4300" applyNumberFormat="1" applyBorder="1"/>
    <xf numFmtId="0" fontId="71" fillId="29" borderId="68" xfId="4300" applyFont="1" applyFill="1" applyBorder="1" applyAlignment="1">
      <alignment horizontal="left"/>
    </xf>
    <xf numFmtId="0" fontId="71" fillId="0" borderId="69" xfId="4300" applyFont="1" applyBorder="1"/>
    <xf numFmtId="0" fontId="18" fillId="29" borderId="68" xfId="4300" applyFill="1" applyBorder="1" applyAlignment="1">
      <alignment horizontal="left"/>
    </xf>
    <xf numFmtId="0" fontId="18" fillId="0" borderId="69" xfId="4300" applyBorder="1"/>
    <xf numFmtId="165" fontId="72" fillId="0" borderId="3" xfId="4300" applyNumberFormat="1" applyFont="1" applyFill="1" applyBorder="1"/>
    <xf numFmtId="41" fontId="70" fillId="0" borderId="70" xfId="4300" quotePrefix="1" applyNumberFormat="1" applyFont="1" applyBorder="1" applyAlignment="1">
      <alignment horizontal="center"/>
    </xf>
    <xf numFmtId="42" fontId="60" fillId="0" borderId="0" xfId="0" applyNumberFormat="1" applyFont="1" applyFill="1" applyAlignment="1">
      <alignment vertical="center"/>
    </xf>
    <xf numFmtId="17" fontId="70" fillId="0" borderId="0" xfId="0" applyNumberFormat="1" applyFont="1" applyBorder="1" applyAlignment="1">
      <alignment horizontal="center"/>
    </xf>
    <xf numFmtId="41" fontId="70" fillId="0" borderId="0" xfId="50939" applyNumberFormat="1" applyFont="1" applyAlignment="1">
      <alignment horizontal="center"/>
    </xf>
    <xf numFmtId="41" fontId="70" fillId="0" borderId="0" xfId="50940" applyNumberFormat="1" applyFont="1" applyAlignment="1">
      <alignment horizontal="center"/>
    </xf>
    <xf numFmtId="41" fontId="70" fillId="0" borderId="70" xfId="50939" quotePrefix="1" applyNumberFormat="1" applyFont="1" applyBorder="1" applyAlignment="1">
      <alignment horizontal="left"/>
    </xf>
    <xf numFmtId="41" fontId="70" fillId="0" borderId="70" xfId="50940" quotePrefix="1" applyNumberFormat="1" applyFont="1" applyBorder="1" applyAlignment="1">
      <alignment horizontal="left"/>
    </xf>
    <xf numFmtId="0" fontId="70" fillId="0" borderId="70" xfId="50940" quotePrefix="1" applyFont="1" applyBorder="1" applyAlignment="1">
      <alignment horizontal="left"/>
    </xf>
    <xf numFmtId="41" fontId="70" fillId="0" borderId="53" xfId="50939" quotePrefix="1" applyNumberFormat="1" applyFont="1" applyBorder="1" applyAlignment="1">
      <alignment horizontal="left"/>
    </xf>
    <xf numFmtId="0" fontId="75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51" xfId="4300" applyFont="1" applyFill="1" applyBorder="1" applyAlignment="1">
      <alignment horizontal="center"/>
    </xf>
    <xf numFmtId="0" fontId="70" fillId="0" borderId="52" xfId="4300" applyFont="1" applyFill="1" applyBorder="1" applyAlignment="1">
      <alignment horizontal="center"/>
    </xf>
    <xf numFmtId="0" fontId="70" fillId="0" borderId="54" xfId="4300" applyFont="1" applyFill="1" applyBorder="1" applyAlignment="1">
      <alignment horizontal="center" vertical="center"/>
    </xf>
    <xf numFmtId="0" fontId="70" fillId="0" borderId="55" xfId="4300" applyFont="1" applyFill="1" applyBorder="1" applyAlignment="1">
      <alignment horizontal="center" vertical="center"/>
    </xf>
    <xf numFmtId="0" fontId="70" fillId="0" borderId="0" xfId="12" applyFont="1" applyFill="1" applyAlignment="1">
      <alignment horizontal="center"/>
    </xf>
    <xf numFmtId="0" fontId="70" fillId="0" borderId="0" xfId="12" applyFont="1" applyFill="1" applyBorder="1" applyAlignment="1">
      <alignment horizontal="center"/>
    </xf>
    <xf numFmtId="0" fontId="70" fillId="0" borderId="5" xfId="12" applyFont="1" applyBorder="1" applyAlignment="1">
      <alignment horizontal="center"/>
    </xf>
    <xf numFmtId="0" fontId="70" fillId="0" borderId="10" xfId="12" applyFont="1" applyBorder="1" applyAlignment="1">
      <alignment horizontal="center"/>
    </xf>
    <xf numFmtId="0" fontId="70" fillId="0" borderId="5" xfId="10" applyFont="1" applyFill="1" applyBorder="1" applyAlignment="1">
      <alignment horizontal="right" vertical="center"/>
    </xf>
    <xf numFmtId="0" fontId="70" fillId="0" borderId="10" xfId="10" applyFont="1" applyFill="1" applyBorder="1" applyAlignment="1">
      <alignment horizontal="right" vertical="center"/>
    </xf>
    <xf numFmtId="0" fontId="72" fillId="5" borderId="9" xfId="0" applyFont="1" applyFill="1" applyBorder="1" applyAlignment="1">
      <alignment horizontal="center"/>
    </xf>
    <xf numFmtId="0" fontId="72" fillId="5" borderId="11" xfId="0" applyFont="1" applyFill="1" applyBorder="1" applyAlignment="1">
      <alignment horizontal="center"/>
    </xf>
    <xf numFmtId="0" fontId="70" fillId="5" borderId="5" xfId="0" applyFont="1" applyFill="1" applyBorder="1" applyAlignment="1">
      <alignment horizontal="center"/>
    </xf>
    <xf numFmtId="0" fontId="70" fillId="5" borderId="13" xfId="0" applyFont="1" applyFill="1" applyBorder="1" applyAlignment="1">
      <alignment horizontal="center"/>
    </xf>
    <xf numFmtId="0" fontId="75" fillId="0" borderId="5" xfId="10" applyFont="1" applyFill="1" applyBorder="1" applyAlignment="1">
      <alignment horizontal="right" vertical="center"/>
    </xf>
    <xf numFmtId="0" fontId="75" fillId="0" borderId="10" xfId="10" applyFont="1" applyFill="1" applyBorder="1" applyAlignment="1">
      <alignment horizontal="right" vertical="center"/>
    </xf>
    <xf numFmtId="41" fontId="75" fillId="0" borderId="0" xfId="50939" applyNumberFormat="1" applyFont="1" applyAlignment="1">
      <alignment horizontal="center"/>
    </xf>
    <xf numFmtId="41" fontId="70" fillId="0" borderId="0" xfId="50939" applyNumberFormat="1" applyFont="1" applyAlignment="1">
      <alignment horizontal="center"/>
    </xf>
    <xf numFmtId="170" fontId="70" fillId="0" borderId="0" xfId="50939" quotePrefix="1" applyNumberFormat="1" applyFont="1" applyAlignment="1">
      <alignment horizontal="center"/>
    </xf>
    <xf numFmtId="41" fontId="75" fillId="0" borderId="0" xfId="50940" applyNumberFormat="1" applyFont="1" applyAlignment="1">
      <alignment horizontal="center"/>
    </xf>
    <xf numFmtId="41" fontId="88" fillId="0" borderId="0" xfId="4300" applyNumberFormat="1" applyFont="1" applyAlignment="1">
      <alignment horizontal="center"/>
    </xf>
    <xf numFmtId="41" fontId="70" fillId="0" borderId="0" xfId="50940" applyNumberFormat="1" applyFont="1" applyAlignment="1">
      <alignment horizontal="center"/>
    </xf>
    <xf numFmtId="41" fontId="71" fillId="0" borderId="0" xfId="4300" applyNumberFormat="1" applyFont="1" applyAlignment="1">
      <alignment horizontal="center"/>
    </xf>
    <xf numFmtId="170" fontId="70" fillId="0" borderId="0" xfId="50940" quotePrefix="1" applyNumberFormat="1" applyFont="1" applyAlignment="1">
      <alignment horizontal="center"/>
    </xf>
    <xf numFmtId="170" fontId="71" fillId="0" borderId="0" xfId="4300" applyNumberFormat="1" applyFont="1" applyAlignment="1">
      <alignment horizontal="center"/>
    </xf>
    <xf numFmtId="0" fontId="75" fillId="0" borderId="0" xfId="50940" applyFont="1" applyAlignment="1">
      <alignment horizontal="center"/>
    </xf>
    <xf numFmtId="0" fontId="88" fillId="0" borderId="0" xfId="4300" applyFont="1" applyAlignment="1">
      <alignment horizontal="center"/>
    </xf>
    <xf numFmtId="0" fontId="70" fillId="0" borderId="0" xfId="50940" applyFont="1" applyAlignment="1">
      <alignment horizontal="center"/>
    </xf>
    <xf numFmtId="0" fontId="71" fillId="0" borderId="0" xfId="4300" applyFont="1" applyAlignment="1">
      <alignment horizontal="center"/>
    </xf>
    <xf numFmtId="0" fontId="75" fillId="0" borderId="0" xfId="3" applyFont="1" applyFill="1" applyBorder="1" applyAlignment="1">
      <alignment horizontal="left"/>
    </xf>
    <xf numFmtId="0" fontId="73" fillId="0" borderId="0" xfId="0" applyFont="1" applyBorder="1"/>
    <xf numFmtId="0" fontId="21" fillId="0" borderId="0" xfId="0" applyFont="1" applyFill="1" applyBorder="1" applyAlignment="1">
      <alignment horizontal="center"/>
    </xf>
    <xf numFmtId="0" fontId="57" fillId="0" borderId="0" xfId="3" applyFont="1" applyFill="1" applyAlignment="1">
      <alignment horizontal="center"/>
    </xf>
    <xf numFmtId="0" fontId="21" fillId="0" borderId="0" xfId="3" applyFont="1" applyFill="1" applyAlignment="1">
      <alignment horizontal="center"/>
    </xf>
    <xf numFmtId="0" fontId="70" fillId="0" borderId="0" xfId="0" applyFont="1" applyAlignment="1">
      <alignment horizontal="center"/>
    </xf>
    <xf numFmtId="49" fontId="70" fillId="0" borderId="0" xfId="0" applyNumberFormat="1" applyFont="1" applyAlignment="1">
      <alignment horizontal="center"/>
    </xf>
    <xf numFmtId="0" fontId="87" fillId="0" borderId="0" xfId="0" applyFont="1" applyAlignment="1">
      <alignment horizontal="center"/>
    </xf>
  </cellXfs>
  <cellStyles count="50941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2" xfId="50936"/>
    <cellStyle name="Normal 52 2" xfId="50938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" xfId="50939"/>
    <cellStyle name="Normal__Art II Earned Federal Funds Template 2" xfId="50940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6"/>
  <sheetViews>
    <sheetView tabSelected="1" zoomScale="80" zoomScaleNormal="80" workbookViewId="0">
      <pane xSplit="3" ySplit="4" topLeftCell="D5" activePane="bottomRight" state="frozen"/>
      <selection activeCell="A3" sqref="A3:L3"/>
      <selection pane="topRight" activeCell="A3" sqref="A3:L3"/>
      <selection pane="bottomLeft" activeCell="A3" sqref="A3:L3"/>
      <selection pane="bottomRight" activeCell="B15" sqref="B15"/>
    </sheetView>
  </sheetViews>
  <sheetFormatPr defaultColWidth="9.140625" defaultRowHeight="18" customHeight="1"/>
  <cols>
    <col min="1" max="1" width="12.140625" style="69" customWidth="1"/>
    <col min="2" max="2" width="50.85546875" style="69" bestFit="1" customWidth="1"/>
    <col min="3" max="3" width="18.140625" style="80" bestFit="1" customWidth="1"/>
    <col min="4" max="4" width="20" style="80" customWidth="1"/>
    <col min="5" max="5" width="18.5703125" style="80" customWidth="1"/>
    <col min="6" max="6" width="19.85546875" style="81" bestFit="1" customWidth="1"/>
    <col min="7" max="7" width="16.140625" style="81" customWidth="1"/>
    <col min="8" max="8" width="14.28515625" style="81" customWidth="1"/>
    <col min="9" max="9" width="18.140625" style="80" bestFit="1" customWidth="1"/>
    <col min="10" max="10" width="15.85546875" style="80" customWidth="1"/>
    <col min="11" max="11" width="18.140625" style="80" bestFit="1" customWidth="1"/>
    <col min="12" max="12" width="17.140625" style="80" bestFit="1" customWidth="1"/>
    <col min="13" max="13" width="16" style="68" customWidth="1"/>
    <col min="14" max="14" width="14.5703125" style="69" customWidth="1"/>
    <col min="15" max="15" width="16.85546875" style="69" customWidth="1"/>
    <col min="16" max="16" width="15.5703125" style="69" bestFit="1" customWidth="1"/>
    <col min="17" max="17" width="11.7109375" style="69" bestFit="1" customWidth="1"/>
    <col min="18" max="16384" width="9.140625" style="69"/>
  </cols>
  <sheetData>
    <row r="1" spans="1:16" s="65" customFormat="1" ht="18" customHeight="1">
      <c r="A1" s="545" t="s">
        <v>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144"/>
    </row>
    <row r="2" spans="1:16" s="67" customFormat="1" ht="18" customHeight="1">
      <c r="A2" s="546" t="s">
        <v>232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145"/>
    </row>
    <row r="3" spans="1:16" s="67" customFormat="1" ht="18" customHeight="1">
      <c r="A3" s="547" t="s">
        <v>419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145"/>
    </row>
    <row r="4" spans="1:16" s="71" customFormat="1" ht="31.5">
      <c r="A4" s="146"/>
      <c r="B4" s="147"/>
      <c r="C4" s="148" t="s">
        <v>233</v>
      </c>
      <c r="D4" s="148" t="s">
        <v>169</v>
      </c>
      <c r="E4" s="100" t="s">
        <v>283</v>
      </c>
      <c r="F4" s="148" t="s">
        <v>251</v>
      </c>
      <c r="G4" s="148" t="s">
        <v>168</v>
      </c>
      <c r="H4" s="100" t="s">
        <v>33</v>
      </c>
      <c r="I4" s="148" t="s">
        <v>49</v>
      </c>
      <c r="J4" s="148" t="s">
        <v>50</v>
      </c>
      <c r="K4" s="149" t="s">
        <v>34</v>
      </c>
      <c r="L4" s="149" t="s">
        <v>35</v>
      </c>
      <c r="M4" s="145"/>
    </row>
    <row r="5" spans="1:16" s="63" customFormat="1" ht="18" customHeight="1">
      <c r="A5" s="150" t="s">
        <v>24</v>
      </c>
      <c r="B5" s="151" t="s">
        <v>7</v>
      </c>
      <c r="C5" s="152">
        <v>21297356</v>
      </c>
      <c r="D5" s="152">
        <f>E5+G5</f>
        <v>482014</v>
      </c>
      <c r="E5" s="152">
        <v>482014</v>
      </c>
      <c r="F5" s="422" t="s">
        <v>390</v>
      </c>
      <c r="G5" s="152">
        <v>0</v>
      </c>
      <c r="H5" s="154"/>
      <c r="I5" s="152">
        <v>21779370</v>
      </c>
      <c r="J5" s="152">
        <v>12413738.659999993</v>
      </c>
      <c r="K5" s="152">
        <v>22454204</v>
      </c>
      <c r="L5" s="152">
        <f>I5-K5</f>
        <v>-674834</v>
      </c>
      <c r="M5" s="155">
        <f>I5-C5-D5</f>
        <v>0</v>
      </c>
    </row>
    <row r="6" spans="1:16" s="72" customFormat="1" ht="7.5" customHeight="1">
      <c r="A6" s="150"/>
      <c r="B6" s="151"/>
      <c r="C6" s="152"/>
      <c r="D6" s="152"/>
      <c r="E6" s="152"/>
      <c r="F6" s="422"/>
      <c r="G6" s="154"/>
      <c r="H6" s="154"/>
      <c r="I6" s="152"/>
      <c r="J6" s="152"/>
      <c r="K6" s="152"/>
      <c r="L6" s="152"/>
      <c r="M6" s="155">
        <f t="shared" ref="M6:M36" si="0">I6-C6-D6</f>
        <v>0</v>
      </c>
    </row>
    <row r="7" spans="1:16" s="73" customFormat="1" ht="18" customHeight="1">
      <c r="A7" s="156" t="s">
        <v>358</v>
      </c>
      <c r="B7" s="157"/>
      <c r="C7" s="158">
        <f>C5</f>
        <v>21297356</v>
      </c>
      <c r="D7" s="158">
        <f>D5</f>
        <v>482014</v>
      </c>
      <c r="E7" s="158">
        <v>482014</v>
      </c>
      <c r="F7" s="423"/>
      <c r="G7" s="159">
        <f>G5</f>
        <v>0</v>
      </c>
      <c r="H7" s="159"/>
      <c r="I7" s="158">
        <f>I5</f>
        <v>21779370</v>
      </c>
      <c r="J7" s="158">
        <f>J5</f>
        <v>12413738.659999993</v>
      </c>
      <c r="K7" s="158">
        <f>K5</f>
        <v>22454204</v>
      </c>
      <c r="L7" s="158">
        <f>L5</f>
        <v>-674834</v>
      </c>
      <c r="M7" s="155">
        <f t="shared" si="0"/>
        <v>0</v>
      </c>
      <c r="N7" s="63"/>
      <c r="O7" s="63"/>
      <c r="P7" s="63"/>
    </row>
    <row r="8" spans="1:16" s="64" customFormat="1" ht="18" customHeight="1">
      <c r="A8" s="160" t="s">
        <v>25</v>
      </c>
      <c r="B8" s="151" t="s">
        <v>8</v>
      </c>
      <c r="C8" s="152">
        <v>548765797</v>
      </c>
      <c r="D8" s="152">
        <f>E8+G8</f>
        <v>133948982</v>
      </c>
      <c r="E8" s="152">
        <v>133948982</v>
      </c>
      <c r="F8" s="422" t="s">
        <v>397</v>
      </c>
      <c r="G8" s="152">
        <v>0</v>
      </c>
      <c r="H8" s="154"/>
      <c r="I8" s="152">
        <v>682714779</v>
      </c>
      <c r="J8" s="152">
        <v>337228405.60999614</v>
      </c>
      <c r="K8" s="152">
        <v>693175332</v>
      </c>
      <c r="L8" s="152">
        <f t="shared" ref="L8:L19" si="1">I8-K8</f>
        <v>-10460553</v>
      </c>
      <c r="M8" s="155">
        <f>I8-C8-D8</f>
        <v>0</v>
      </c>
      <c r="N8" s="63"/>
      <c r="O8" s="152"/>
      <c r="P8" s="63"/>
    </row>
    <row r="9" spans="1:16" s="64" customFormat="1" ht="18" customHeight="1">
      <c r="A9" s="160" t="s">
        <v>26</v>
      </c>
      <c r="B9" s="151" t="s">
        <v>9</v>
      </c>
      <c r="C9" s="152">
        <v>48154810</v>
      </c>
      <c r="D9" s="152">
        <f t="shared" ref="D9:D19" si="2">E9+G9</f>
        <v>1146704</v>
      </c>
      <c r="E9" s="152">
        <v>1157266</v>
      </c>
      <c r="F9" s="422" t="s">
        <v>398</v>
      </c>
      <c r="G9" s="152">
        <v>-10562</v>
      </c>
      <c r="H9" s="153" t="s">
        <v>216</v>
      </c>
      <c r="I9" s="152">
        <v>49301514</v>
      </c>
      <c r="J9" s="152">
        <v>21601470.469999779</v>
      </c>
      <c r="K9" s="152">
        <v>49301514</v>
      </c>
      <c r="L9" s="152">
        <f t="shared" si="1"/>
        <v>0</v>
      </c>
      <c r="M9" s="155">
        <f>I9-C9-D9</f>
        <v>0</v>
      </c>
      <c r="N9" s="63"/>
      <c r="O9" s="63"/>
      <c r="P9" s="63"/>
    </row>
    <row r="10" spans="1:16" s="64" customFormat="1" ht="18" customHeight="1">
      <c r="A10" s="160" t="s">
        <v>27</v>
      </c>
      <c r="B10" s="151" t="s">
        <v>189</v>
      </c>
      <c r="C10" s="152">
        <v>54852504</v>
      </c>
      <c r="D10" s="152">
        <f t="shared" si="2"/>
        <v>112120</v>
      </c>
      <c r="E10" s="152">
        <v>-161641</v>
      </c>
      <c r="F10" s="422" t="s">
        <v>215</v>
      </c>
      <c r="G10" s="152">
        <v>273761</v>
      </c>
      <c r="H10" s="153" t="s">
        <v>215</v>
      </c>
      <c r="I10" s="152">
        <v>54964624</v>
      </c>
      <c r="J10" s="152">
        <v>33865830.280000001</v>
      </c>
      <c r="K10" s="152">
        <v>71702047</v>
      </c>
      <c r="L10" s="152">
        <f t="shared" si="1"/>
        <v>-16737423</v>
      </c>
      <c r="M10" s="155">
        <f t="shared" si="0"/>
        <v>0</v>
      </c>
      <c r="N10" s="63"/>
      <c r="O10" s="63"/>
      <c r="P10" s="63"/>
    </row>
    <row r="11" spans="1:16" s="64" customFormat="1" ht="18" customHeight="1">
      <c r="A11" s="160" t="s">
        <v>28</v>
      </c>
      <c r="B11" s="151" t="s">
        <v>190</v>
      </c>
      <c r="C11" s="152">
        <v>10065312</v>
      </c>
      <c r="D11" s="152">
        <f t="shared" si="2"/>
        <v>0</v>
      </c>
      <c r="E11" s="152">
        <v>0</v>
      </c>
      <c r="F11" s="422"/>
      <c r="G11" s="152">
        <v>0</v>
      </c>
      <c r="H11" s="153"/>
      <c r="I11" s="152">
        <v>10065312</v>
      </c>
      <c r="J11" s="152">
        <v>4301101.72</v>
      </c>
      <c r="K11" s="152">
        <v>12595719</v>
      </c>
      <c r="L11" s="152">
        <f t="shared" si="1"/>
        <v>-2530407</v>
      </c>
      <c r="M11" s="155">
        <f t="shared" si="0"/>
        <v>0</v>
      </c>
      <c r="N11" s="63"/>
      <c r="O11" s="63"/>
      <c r="P11" s="63"/>
    </row>
    <row r="12" spans="1:16" s="64" customFormat="1" ht="18" customHeight="1">
      <c r="A12" s="160" t="s">
        <v>29</v>
      </c>
      <c r="B12" s="151" t="s">
        <v>191</v>
      </c>
      <c r="C12" s="152">
        <v>3488221</v>
      </c>
      <c r="D12" s="152">
        <f t="shared" si="2"/>
        <v>0</v>
      </c>
      <c r="E12" s="152">
        <v>0</v>
      </c>
      <c r="F12" s="422"/>
      <c r="G12" s="152">
        <v>0</v>
      </c>
      <c r="H12" s="153"/>
      <c r="I12" s="152">
        <v>3488221</v>
      </c>
      <c r="J12" s="152">
        <v>1832718.81</v>
      </c>
      <c r="K12" s="152">
        <v>4315169</v>
      </c>
      <c r="L12" s="152">
        <f t="shared" si="1"/>
        <v>-826948</v>
      </c>
      <c r="M12" s="155">
        <f t="shared" si="0"/>
        <v>0</v>
      </c>
      <c r="N12" s="63"/>
      <c r="O12" s="63"/>
      <c r="P12" s="63"/>
    </row>
    <row r="13" spans="1:16" s="64" customFormat="1" ht="18" customHeight="1">
      <c r="A13" s="160" t="s">
        <v>114</v>
      </c>
      <c r="B13" s="151" t="s">
        <v>11</v>
      </c>
      <c r="C13" s="152">
        <v>9743396</v>
      </c>
      <c r="D13" s="152">
        <f t="shared" si="2"/>
        <v>780754</v>
      </c>
      <c r="E13" s="152">
        <v>780754</v>
      </c>
      <c r="F13" s="422" t="s">
        <v>216</v>
      </c>
      <c r="G13" s="152">
        <v>0</v>
      </c>
      <c r="H13" s="153"/>
      <c r="I13" s="152">
        <v>10524150</v>
      </c>
      <c r="J13" s="152">
        <v>2898332.200000002</v>
      </c>
      <c r="K13" s="152">
        <v>8692474</v>
      </c>
      <c r="L13" s="152">
        <f t="shared" si="1"/>
        <v>1831676</v>
      </c>
      <c r="M13" s="155">
        <f t="shared" si="0"/>
        <v>0</v>
      </c>
      <c r="N13" s="63"/>
      <c r="O13" s="63"/>
      <c r="P13" s="63"/>
    </row>
    <row r="14" spans="1:16" s="64" customFormat="1" ht="18" customHeight="1">
      <c r="A14" s="160" t="s">
        <v>115</v>
      </c>
      <c r="B14" s="151" t="s">
        <v>192</v>
      </c>
      <c r="C14" s="152">
        <v>8616280</v>
      </c>
      <c r="D14" s="152">
        <f t="shared" si="2"/>
        <v>-47866</v>
      </c>
      <c r="E14" s="152">
        <v>-47866</v>
      </c>
      <c r="F14" s="422" t="s">
        <v>185</v>
      </c>
      <c r="G14" s="152">
        <v>0</v>
      </c>
      <c r="H14" s="153"/>
      <c r="I14" s="152">
        <v>8568414</v>
      </c>
      <c r="J14" s="152">
        <v>5770491.4600000018</v>
      </c>
      <c r="K14" s="152">
        <v>14017527</v>
      </c>
      <c r="L14" s="152">
        <f t="shared" si="1"/>
        <v>-5449113</v>
      </c>
      <c r="M14" s="155">
        <f t="shared" si="0"/>
        <v>0</v>
      </c>
      <c r="N14" s="63"/>
      <c r="O14" s="63"/>
      <c r="P14" s="63"/>
    </row>
    <row r="15" spans="1:16" s="64" customFormat="1" ht="18" customHeight="1">
      <c r="A15" s="160" t="s">
        <v>116</v>
      </c>
      <c r="B15" s="151" t="s">
        <v>193</v>
      </c>
      <c r="C15" s="152">
        <v>46082699</v>
      </c>
      <c r="D15" s="152">
        <f t="shared" si="2"/>
        <v>-4131478</v>
      </c>
      <c r="E15" s="152">
        <v>-5196836</v>
      </c>
      <c r="F15" s="422" t="s">
        <v>216</v>
      </c>
      <c r="G15" s="152">
        <v>1065358</v>
      </c>
      <c r="H15" s="153" t="s">
        <v>216</v>
      </c>
      <c r="I15" s="152">
        <v>41951221</v>
      </c>
      <c r="J15" s="152">
        <v>18544676.04000001</v>
      </c>
      <c r="K15" s="152">
        <v>41951221</v>
      </c>
      <c r="L15" s="152">
        <f t="shared" si="1"/>
        <v>0</v>
      </c>
      <c r="M15" s="155">
        <f t="shared" si="0"/>
        <v>0</v>
      </c>
      <c r="N15" s="63"/>
      <c r="O15" s="63"/>
      <c r="P15" s="63"/>
    </row>
    <row r="16" spans="1:16" s="64" customFormat="1" ht="18" customHeight="1">
      <c r="A16" s="160" t="s">
        <v>117</v>
      </c>
      <c r="B16" s="151" t="s">
        <v>194</v>
      </c>
      <c r="C16" s="152">
        <v>421563615</v>
      </c>
      <c r="D16" s="152">
        <f t="shared" si="2"/>
        <v>-31554610</v>
      </c>
      <c r="E16" s="152">
        <v>-31808911</v>
      </c>
      <c r="F16" s="422" t="s">
        <v>387</v>
      </c>
      <c r="G16" s="152">
        <v>254301</v>
      </c>
      <c r="H16" s="153" t="s">
        <v>215</v>
      </c>
      <c r="I16" s="152">
        <v>390009005</v>
      </c>
      <c r="J16" s="152">
        <v>189678815.53000024</v>
      </c>
      <c r="K16" s="152">
        <v>439732404</v>
      </c>
      <c r="L16" s="152">
        <f t="shared" si="1"/>
        <v>-49723399</v>
      </c>
      <c r="M16" s="155">
        <f t="shared" si="0"/>
        <v>0</v>
      </c>
      <c r="N16" s="63"/>
      <c r="O16" s="63"/>
      <c r="P16" s="63"/>
    </row>
    <row r="17" spans="1:16" s="64" customFormat="1" ht="18" customHeight="1">
      <c r="A17" s="160" t="s">
        <v>118</v>
      </c>
      <c r="B17" s="151" t="s">
        <v>195</v>
      </c>
      <c r="C17" s="152">
        <v>269243512</v>
      </c>
      <c r="D17" s="152">
        <f t="shared" si="2"/>
        <v>-2767732</v>
      </c>
      <c r="E17" s="152">
        <v>-2676526</v>
      </c>
      <c r="F17" s="422" t="s">
        <v>284</v>
      </c>
      <c r="G17" s="152">
        <v>-91206</v>
      </c>
      <c r="H17" s="153" t="s">
        <v>215</v>
      </c>
      <c r="I17" s="152">
        <v>266475780</v>
      </c>
      <c r="J17" s="152">
        <v>154234453.76000002</v>
      </c>
      <c r="K17" s="152">
        <v>267302611</v>
      </c>
      <c r="L17" s="152">
        <f t="shared" si="1"/>
        <v>-826831</v>
      </c>
      <c r="M17" s="155">
        <f t="shared" si="0"/>
        <v>0</v>
      </c>
      <c r="N17" s="63"/>
      <c r="O17" s="63"/>
      <c r="P17" s="63"/>
    </row>
    <row r="18" spans="1:16" s="64" customFormat="1" ht="18" customHeight="1">
      <c r="A18" s="160" t="s">
        <v>119</v>
      </c>
      <c r="B18" s="151" t="s">
        <v>196</v>
      </c>
      <c r="C18" s="152">
        <v>12371835</v>
      </c>
      <c r="D18" s="152">
        <f t="shared" si="2"/>
        <v>0</v>
      </c>
      <c r="E18" s="152">
        <v>0</v>
      </c>
      <c r="F18" s="422"/>
      <c r="G18" s="152">
        <v>0</v>
      </c>
      <c r="H18" s="153"/>
      <c r="I18" s="152">
        <v>12371835</v>
      </c>
      <c r="J18" s="152">
        <v>6540444.5899999999</v>
      </c>
      <c r="K18" s="152">
        <v>12704783</v>
      </c>
      <c r="L18" s="152">
        <f t="shared" si="1"/>
        <v>-332948</v>
      </c>
      <c r="M18" s="155">
        <f t="shared" si="0"/>
        <v>0</v>
      </c>
      <c r="N18" s="63"/>
      <c r="O18" s="63"/>
      <c r="P18" s="63"/>
    </row>
    <row r="19" spans="1:16" s="64" customFormat="1" ht="18" customHeight="1">
      <c r="A19" s="160" t="s">
        <v>120</v>
      </c>
      <c r="B19" s="161" t="s">
        <v>218</v>
      </c>
      <c r="C19" s="152">
        <v>0</v>
      </c>
      <c r="D19" s="152">
        <f t="shared" si="2"/>
        <v>0</v>
      </c>
      <c r="E19" s="152">
        <v>0</v>
      </c>
      <c r="F19" s="422"/>
      <c r="G19" s="152">
        <v>0</v>
      </c>
      <c r="H19" s="153"/>
      <c r="I19" s="152">
        <v>0</v>
      </c>
      <c r="J19" s="152">
        <v>0</v>
      </c>
      <c r="K19" s="152">
        <v>0</v>
      </c>
      <c r="L19" s="152">
        <f t="shared" si="1"/>
        <v>0</v>
      </c>
      <c r="M19" s="155">
        <f t="shared" si="0"/>
        <v>0</v>
      </c>
      <c r="N19" s="63"/>
      <c r="O19" s="63"/>
      <c r="P19" s="63"/>
    </row>
    <row r="20" spans="1:16" s="74" customFormat="1" ht="7.5" customHeight="1">
      <c r="A20" s="160"/>
      <c r="B20" s="161"/>
      <c r="C20" s="152"/>
      <c r="D20" s="152"/>
      <c r="E20" s="152"/>
      <c r="F20" s="422"/>
      <c r="G20" s="153"/>
      <c r="H20" s="153"/>
      <c r="I20" s="152"/>
      <c r="J20" s="152"/>
      <c r="K20" s="152"/>
      <c r="L20" s="152"/>
      <c r="M20" s="155">
        <f t="shared" si="0"/>
        <v>0</v>
      </c>
      <c r="N20" s="72"/>
      <c r="O20" s="72"/>
      <c r="P20" s="72"/>
    </row>
    <row r="21" spans="1:16" s="73" customFormat="1" ht="18" customHeight="1">
      <c r="A21" s="156" t="s">
        <v>359</v>
      </c>
      <c r="B21" s="157"/>
      <c r="C21" s="158">
        <f>SUM(C8:C19)</f>
        <v>1432947981</v>
      </c>
      <c r="D21" s="158">
        <f>SUM(D8:D19)</f>
        <v>97486874</v>
      </c>
      <c r="E21" s="158">
        <v>95995222</v>
      </c>
      <c r="F21" s="423"/>
      <c r="G21" s="159">
        <f>SUM(G8:G20)</f>
        <v>1491652</v>
      </c>
      <c r="H21" s="159"/>
      <c r="I21" s="158">
        <f>SUM(I8:I19)</f>
        <v>1530434855</v>
      </c>
      <c r="J21" s="158">
        <f>SUM(J8:J19)</f>
        <v>776496740.46999621</v>
      </c>
      <c r="K21" s="158">
        <f>SUM(K8:K19)</f>
        <v>1615490801</v>
      </c>
      <c r="L21" s="158">
        <f>SUM(L8:L19)</f>
        <v>-85055946</v>
      </c>
      <c r="M21" s="155">
        <f t="shared" si="0"/>
        <v>0</v>
      </c>
      <c r="O21" s="63"/>
      <c r="P21" s="63"/>
    </row>
    <row r="22" spans="1:16" s="64" customFormat="1" ht="18" customHeight="1">
      <c r="A22" s="160" t="s">
        <v>30</v>
      </c>
      <c r="B22" s="151" t="s">
        <v>14</v>
      </c>
      <c r="C22" s="152">
        <v>21001890</v>
      </c>
      <c r="D22" s="152">
        <f t="shared" ref="D22:D27" si="3">E22+G22</f>
        <v>0</v>
      </c>
      <c r="E22" s="152">
        <v>0</v>
      </c>
      <c r="F22" s="422"/>
      <c r="G22" s="152">
        <v>0</v>
      </c>
      <c r="H22" s="153"/>
      <c r="I22" s="152">
        <v>21001890</v>
      </c>
      <c r="J22" s="152">
        <v>10455402.129999999</v>
      </c>
      <c r="K22" s="152">
        <v>21001890</v>
      </c>
      <c r="L22" s="152">
        <f t="shared" ref="L22:L27" si="4">I22-K22</f>
        <v>0</v>
      </c>
      <c r="M22" s="155">
        <f t="shared" si="0"/>
        <v>0</v>
      </c>
      <c r="N22" s="63"/>
      <c r="O22" s="63"/>
      <c r="P22" s="63"/>
    </row>
    <row r="23" spans="1:16" s="64" customFormat="1" ht="18" customHeight="1">
      <c r="A23" s="160" t="s">
        <v>121</v>
      </c>
      <c r="B23" s="151" t="s">
        <v>15</v>
      </c>
      <c r="C23" s="152">
        <v>8422558</v>
      </c>
      <c r="D23" s="152">
        <f t="shared" si="3"/>
        <v>0</v>
      </c>
      <c r="E23" s="152">
        <v>0</v>
      </c>
      <c r="F23" s="422"/>
      <c r="G23" s="152">
        <v>0</v>
      </c>
      <c r="H23" s="153"/>
      <c r="I23" s="152">
        <v>8422558</v>
      </c>
      <c r="J23" s="152">
        <v>2411886.0100000002</v>
      </c>
      <c r="K23" s="152">
        <v>8422558</v>
      </c>
      <c r="L23" s="152">
        <f t="shared" si="4"/>
        <v>0</v>
      </c>
      <c r="M23" s="155">
        <f t="shared" si="0"/>
        <v>0</v>
      </c>
      <c r="N23" s="63"/>
      <c r="O23" s="63"/>
      <c r="P23" s="63"/>
    </row>
    <row r="24" spans="1:16" s="64" customFormat="1" ht="18" customHeight="1">
      <c r="A24" s="160" t="s">
        <v>122</v>
      </c>
      <c r="B24" s="151" t="s">
        <v>16</v>
      </c>
      <c r="C24" s="152">
        <v>2610245</v>
      </c>
      <c r="D24" s="152">
        <f t="shared" si="3"/>
        <v>0</v>
      </c>
      <c r="E24" s="152">
        <v>0</v>
      </c>
      <c r="F24" s="422"/>
      <c r="G24" s="152">
        <v>0</v>
      </c>
      <c r="H24" s="153"/>
      <c r="I24" s="152">
        <v>2610245</v>
      </c>
      <c r="J24" s="152">
        <v>1019728.74</v>
      </c>
      <c r="K24" s="152">
        <v>2610245</v>
      </c>
      <c r="L24" s="152">
        <f t="shared" si="4"/>
        <v>0</v>
      </c>
      <c r="M24" s="155">
        <f t="shared" si="0"/>
        <v>0</v>
      </c>
      <c r="N24" s="63"/>
      <c r="O24" s="63"/>
      <c r="P24" s="63"/>
    </row>
    <row r="25" spans="1:16" s="64" customFormat="1" ht="18" customHeight="1">
      <c r="A25" s="160" t="s">
        <v>104</v>
      </c>
      <c r="B25" s="151" t="s">
        <v>17</v>
      </c>
      <c r="C25" s="152">
        <v>3155510</v>
      </c>
      <c r="D25" s="152">
        <f t="shared" si="3"/>
        <v>1091429</v>
      </c>
      <c r="E25" s="152">
        <v>1091429</v>
      </c>
      <c r="F25" s="422" t="s">
        <v>391</v>
      </c>
      <c r="G25" s="152">
        <v>0</v>
      </c>
      <c r="H25" s="153"/>
      <c r="I25" s="152">
        <v>4246939</v>
      </c>
      <c r="J25" s="152">
        <v>1743472.4700000009</v>
      </c>
      <c r="K25" s="152">
        <v>4246164</v>
      </c>
      <c r="L25" s="152">
        <f t="shared" si="4"/>
        <v>775</v>
      </c>
      <c r="M25" s="155">
        <f t="shared" si="0"/>
        <v>0</v>
      </c>
      <c r="N25" s="63"/>
      <c r="O25" s="63"/>
      <c r="P25" s="63"/>
    </row>
    <row r="26" spans="1:16" s="64" customFormat="1" ht="18" customHeight="1">
      <c r="A26" s="160" t="s">
        <v>105</v>
      </c>
      <c r="B26" s="151" t="s">
        <v>158</v>
      </c>
      <c r="C26" s="152">
        <v>26075221</v>
      </c>
      <c r="D26" s="152">
        <f t="shared" si="3"/>
        <v>31609782</v>
      </c>
      <c r="E26" s="152">
        <v>31002034</v>
      </c>
      <c r="F26" s="422" t="s">
        <v>285</v>
      </c>
      <c r="G26" s="152">
        <v>607748</v>
      </c>
      <c r="H26" s="153" t="s">
        <v>185</v>
      </c>
      <c r="I26" s="152">
        <v>57685003</v>
      </c>
      <c r="J26" s="152">
        <v>20959986.249999996</v>
      </c>
      <c r="K26" s="152">
        <v>57077255</v>
      </c>
      <c r="L26" s="152">
        <f t="shared" si="4"/>
        <v>607748</v>
      </c>
      <c r="M26" s="155">
        <f t="shared" si="0"/>
        <v>0</v>
      </c>
      <c r="N26" s="63"/>
      <c r="O26" s="63"/>
      <c r="P26" s="63"/>
    </row>
    <row r="27" spans="1:16" s="64" customFormat="1" ht="18" customHeight="1">
      <c r="A27" s="160" t="s">
        <v>123</v>
      </c>
      <c r="B27" s="151" t="s">
        <v>159</v>
      </c>
      <c r="C27" s="152">
        <v>1887363</v>
      </c>
      <c r="D27" s="152">
        <f t="shared" si="3"/>
        <v>5268074</v>
      </c>
      <c r="E27" s="152">
        <v>5875822</v>
      </c>
      <c r="F27" s="422" t="s">
        <v>392</v>
      </c>
      <c r="G27" s="152">
        <v>-607748</v>
      </c>
      <c r="H27" s="153" t="s">
        <v>185</v>
      </c>
      <c r="I27" s="152">
        <v>7155437</v>
      </c>
      <c r="J27" s="152">
        <v>2059948.1800000048</v>
      </c>
      <c r="K27" s="152">
        <v>7647107</v>
      </c>
      <c r="L27" s="152">
        <f t="shared" si="4"/>
        <v>-491670</v>
      </c>
      <c r="M27" s="155">
        <f t="shared" si="0"/>
        <v>0</v>
      </c>
      <c r="N27" s="63"/>
      <c r="O27" s="63"/>
      <c r="P27" s="63"/>
    </row>
    <row r="28" spans="1:16" s="74" customFormat="1" ht="7.5" customHeight="1">
      <c r="A28" s="160"/>
      <c r="B28" s="151"/>
      <c r="C28" s="152"/>
      <c r="D28" s="152"/>
      <c r="E28" s="152"/>
      <c r="F28" s="422"/>
      <c r="G28" s="153"/>
      <c r="H28" s="153"/>
      <c r="I28" s="152"/>
      <c r="J28" s="152"/>
      <c r="K28" s="152"/>
      <c r="L28" s="152"/>
      <c r="M28" s="155">
        <f t="shared" si="0"/>
        <v>0</v>
      </c>
      <c r="N28" s="72"/>
      <c r="O28" s="72"/>
      <c r="P28" s="72"/>
    </row>
    <row r="29" spans="1:16" s="73" customFormat="1" ht="18" customHeight="1">
      <c r="A29" s="156" t="s">
        <v>360</v>
      </c>
      <c r="B29" s="157"/>
      <c r="C29" s="158">
        <f>SUM(C22:C27)</f>
        <v>63152787</v>
      </c>
      <c r="D29" s="158">
        <f>SUM(D22:D27)</f>
        <v>37969285</v>
      </c>
      <c r="E29" s="158">
        <v>37969285</v>
      </c>
      <c r="F29" s="423"/>
      <c r="G29" s="159">
        <f>SUM(G22:G28)</f>
        <v>0</v>
      </c>
      <c r="H29" s="159"/>
      <c r="I29" s="158">
        <f>SUM(I22:I27)</f>
        <v>101122072</v>
      </c>
      <c r="J29" s="158">
        <f>SUM(J22:J27)</f>
        <v>38650423.780000001</v>
      </c>
      <c r="K29" s="158">
        <f>SUM(K22:K27)</f>
        <v>101005219</v>
      </c>
      <c r="L29" s="158">
        <f>SUM(L22:L27)</f>
        <v>116853</v>
      </c>
      <c r="M29" s="155">
        <f t="shared" si="0"/>
        <v>0</v>
      </c>
      <c r="O29" s="63"/>
      <c r="P29" s="63"/>
    </row>
    <row r="30" spans="1:16" s="64" customFormat="1" ht="18" customHeight="1">
      <c r="A30" s="160" t="s">
        <v>106</v>
      </c>
      <c r="B30" s="151" t="s">
        <v>197</v>
      </c>
      <c r="C30" s="152">
        <v>57609430</v>
      </c>
      <c r="D30" s="152">
        <f t="shared" ref="D30:D32" si="5">E30+G30</f>
        <v>1292164</v>
      </c>
      <c r="E30" s="152">
        <v>1292164</v>
      </c>
      <c r="F30" s="422" t="s">
        <v>399</v>
      </c>
      <c r="G30" s="152">
        <v>0</v>
      </c>
      <c r="H30" s="153"/>
      <c r="I30" s="152">
        <v>58901594</v>
      </c>
      <c r="J30" s="152">
        <v>31013993.45999993</v>
      </c>
      <c r="K30" s="152">
        <v>58858696</v>
      </c>
      <c r="L30" s="152">
        <f>I30-K30</f>
        <v>42898</v>
      </c>
      <c r="M30" s="155">
        <f t="shared" si="0"/>
        <v>0</v>
      </c>
      <c r="N30" s="63"/>
      <c r="O30" s="63"/>
      <c r="P30" s="63"/>
    </row>
    <row r="31" spans="1:16" s="64" customFormat="1" ht="18" customHeight="1">
      <c r="A31" s="160" t="s">
        <v>107</v>
      </c>
      <c r="B31" s="151" t="s">
        <v>124</v>
      </c>
      <c r="C31" s="152">
        <v>6238964</v>
      </c>
      <c r="D31" s="152">
        <f t="shared" si="5"/>
        <v>36527</v>
      </c>
      <c r="E31" s="152">
        <v>36527</v>
      </c>
      <c r="F31" s="422" t="s">
        <v>390</v>
      </c>
      <c r="G31" s="152">
        <v>0</v>
      </c>
      <c r="H31" s="153"/>
      <c r="I31" s="152">
        <v>6275491</v>
      </c>
      <c r="J31" s="152">
        <v>2889368.5299999979</v>
      </c>
      <c r="K31" s="152">
        <v>6053543</v>
      </c>
      <c r="L31" s="152">
        <f>I31-K31</f>
        <v>221948</v>
      </c>
      <c r="M31" s="155">
        <f t="shared" si="0"/>
        <v>0</v>
      </c>
      <c r="N31" s="63"/>
      <c r="O31" s="63"/>
      <c r="P31" s="63"/>
    </row>
    <row r="32" spans="1:16" s="64" customFormat="1" ht="18" customHeight="1">
      <c r="A32" s="160" t="s">
        <v>108</v>
      </c>
      <c r="B32" s="151" t="s">
        <v>198</v>
      </c>
      <c r="C32" s="152">
        <v>9399818</v>
      </c>
      <c r="D32" s="152">
        <f t="shared" si="5"/>
        <v>0</v>
      </c>
      <c r="E32" s="152">
        <v>0</v>
      </c>
      <c r="F32" s="422"/>
      <c r="G32" s="152">
        <v>0</v>
      </c>
      <c r="H32" s="153"/>
      <c r="I32" s="152">
        <v>9399818</v>
      </c>
      <c r="J32" s="152">
        <v>3410051.0699999994</v>
      </c>
      <c r="K32" s="152">
        <v>9043874</v>
      </c>
      <c r="L32" s="152">
        <f>I32-K32</f>
        <v>355944</v>
      </c>
      <c r="M32" s="155">
        <f t="shared" si="0"/>
        <v>0</v>
      </c>
      <c r="N32" s="63"/>
      <c r="O32" s="63"/>
      <c r="P32" s="63"/>
    </row>
    <row r="33" spans="1:16" s="74" customFormat="1" ht="7.5" customHeight="1">
      <c r="A33" s="160"/>
      <c r="B33" s="151"/>
      <c r="C33" s="152"/>
      <c r="D33" s="152"/>
      <c r="E33" s="152"/>
      <c r="F33" s="422"/>
      <c r="G33" s="153"/>
      <c r="H33" s="153"/>
      <c r="I33" s="152"/>
      <c r="J33" s="152"/>
      <c r="K33" s="152"/>
      <c r="L33" s="152"/>
      <c r="M33" s="155">
        <f t="shared" si="0"/>
        <v>0</v>
      </c>
      <c r="N33" s="72"/>
      <c r="O33" s="72"/>
      <c r="P33" s="72"/>
    </row>
    <row r="34" spans="1:16" s="64" customFormat="1" ht="18" customHeight="1">
      <c r="A34" s="162" t="s">
        <v>361</v>
      </c>
      <c r="B34" s="157"/>
      <c r="C34" s="158">
        <f>SUM(C30:C32)</f>
        <v>73248212</v>
      </c>
      <c r="D34" s="158">
        <f>SUM(D30:D32)</f>
        <v>1328691</v>
      </c>
      <c r="E34" s="158">
        <v>1328691</v>
      </c>
      <c r="F34" s="423"/>
      <c r="G34" s="159">
        <f>SUM(G30:G32)</f>
        <v>0</v>
      </c>
      <c r="H34" s="159"/>
      <c r="I34" s="158">
        <f>SUM(I30:I32)</f>
        <v>74576903</v>
      </c>
      <c r="J34" s="158">
        <f>SUM(J30:J32)</f>
        <v>37313413.059999928</v>
      </c>
      <c r="K34" s="158">
        <f>SUM(K30:K32)</f>
        <v>73956113</v>
      </c>
      <c r="L34" s="158">
        <f>SUM(L30:L32)</f>
        <v>620790</v>
      </c>
      <c r="M34" s="155">
        <f t="shared" si="0"/>
        <v>0</v>
      </c>
      <c r="O34" s="63"/>
      <c r="P34" s="63"/>
    </row>
    <row r="35" spans="1:16" s="64" customFormat="1" ht="18" customHeight="1">
      <c r="A35" s="160" t="s">
        <v>109</v>
      </c>
      <c r="B35" s="163" t="s">
        <v>19</v>
      </c>
      <c r="C35" s="152">
        <v>45143834</v>
      </c>
      <c r="D35" s="152">
        <f t="shared" ref="D35" si="6">E35+G35</f>
        <v>2215578</v>
      </c>
      <c r="E35" s="152">
        <v>2215578</v>
      </c>
      <c r="F35" s="422" t="s">
        <v>393</v>
      </c>
      <c r="G35" s="152">
        <v>0</v>
      </c>
      <c r="H35" s="153"/>
      <c r="I35" s="152">
        <v>47359412</v>
      </c>
      <c r="J35" s="152">
        <v>23599975.900000118</v>
      </c>
      <c r="K35" s="152">
        <v>47603344</v>
      </c>
      <c r="L35" s="152">
        <f>I35-K35</f>
        <v>-243932</v>
      </c>
      <c r="M35" s="155">
        <f t="shared" si="0"/>
        <v>0</v>
      </c>
      <c r="N35" s="63"/>
      <c r="O35" s="63"/>
      <c r="P35" s="63"/>
    </row>
    <row r="36" spans="1:16" s="74" customFormat="1" ht="7.5" customHeight="1">
      <c r="A36" s="160"/>
      <c r="B36" s="163"/>
      <c r="C36" s="152"/>
      <c r="D36" s="152"/>
      <c r="E36" s="152"/>
      <c r="F36" s="422"/>
      <c r="G36" s="153"/>
      <c r="H36" s="153"/>
      <c r="I36" s="152"/>
      <c r="J36" s="152"/>
      <c r="K36" s="152"/>
      <c r="L36" s="152"/>
      <c r="M36" s="155">
        <f t="shared" si="0"/>
        <v>0</v>
      </c>
      <c r="N36" s="72"/>
      <c r="O36" s="72"/>
      <c r="P36" s="72"/>
    </row>
    <row r="37" spans="1:16" s="73" customFormat="1" ht="18" customHeight="1">
      <c r="A37" s="156" t="s">
        <v>362</v>
      </c>
      <c r="B37" s="157"/>
      <c r="C37" s="158">
        <f>C35</f>
        <v>45143834</v>
      </c>
      <c r="D37" s="158">
        <f>D35</f>
        <v>2215578</v>
      </c>
      <c r="E37" s="158">
        <v>2215578</v>
      </c>
      <c r="F37" s="423"/>
      <c r="G37" s="159"/>
      <c r="H37" s="159"/>
      <c r="I37" s="158">
        <f>I35</f>
        <v>47359412</v>
      </c>
      <c r="J37" s="158">
        <f>J35</f>
        <v>23599975.900000118</v>
      </c>
      <c r="K37" s="158">
        <f>K35</f>
        <v>47603344</v>
      </c>
      <c r="L37" s="158">
        <f>L35</f>
        <v>-243932</v>
      </c>
      <c r="M37" s="155">
        <f t="shared" ref="M37:M56" si="7">I37-C37-D37</f>
        <v>0</v>
      </c>
      <c r="O37" s="63"/>
      <c r="P37" s="63"/>
    </row>
    <row r="38" spans="1:16" s="64" customFormat="1" ht="18" customHeight="1">
      <c r="A38" s="160" t="s">
        <v>110</v>
      </c>
      <c r="B38" s="163" t="s">
        <v>20</v>
      </c>
      <c r="C38" s="152">
        <v>18516156</v>
      </c>
      <c r="D38" s="152">
        <f t="shared" ref="D38:D41" si="8">E38+G38</f>
        <v>1031056</v>
      </c>
      <c r="E38" s="152">
        <v>1031056</v>
      </c>
      <c r="F38" s="422" t="s">
        <v>399</v>
      </c>
      <c r="G38" s="152">
        <v>0</v>
      </c>
      <c r="H38" s="153"/>
      <c r="I38" s="152">
        <v>19547212</v>
      </c>
      <c r="J38" s="152">
        <v>10212771.029999923</v>
      </c>
      <c r="K38" s="152">
        <v>17163554</v>
      </c>
      <c r="L38" s="152">
        <f>I38-K38</f>
        <v>2383658</v>
      </c>
      <c r="M38" s="155">
        <f t="shared" si="7"/>
        <v>0</v>
      </c>
      <c r="N38" s="63"/>
      <c r="O38" s="63"/>
      <c r="P38" s="63"/>
    </row>
    <row r="39" spans="1:16" s="64" customFormat="1" ht="18" customHeight="1">
      <c r="A39" s="160" t="s">
        <v>111</v>
      </c>
      <c r="B39" s="163" t="s">
        <v>21</v>
      </c>
      <c r="C39" s="152">
        <v>12464149</v>
      </c>
      <c r="D39" s="152">
        <f t="shared" si="8"/>
        <v>-1681085</v>
      </c>
      <c r="E39" s="152">
        <v>-1681085</v>
      </c>
      <c r="F39" s="422" t="s">
        <v>400</v>
      </c>
      <c r="G39" s="152">
        <v>0</v>
      </c>
      <c r="H39" s="153"/>
      <c r="I39" s="152">
        <v>10783064</v>
      </c>
      <c r="J39" s="152">
        <v>5843551.629999931</v>
      </c>
      <c r="K39" s="152">
        <v>10538927</v>
      </c>
      <c r="L39" s="152">
        <f>I39-K39</f>
        <v>244137</v>
      </c>
      <c r="M39" s="155">
        <f t="shared" si="7"/>
        <v>0</v>
      </c>
      <c r="N39" s="63"/>
      <c r="O39" s="63"/>
      <c r="P39" s="63"/>
    </row>
    <row r="40" spans="1:16" s="64" customFormat="1" ht="18" customHeight="1">
      <c r="A40" s="160" t="s">
        <v>112</v>
      </c>
      <c r="B40" s="163" t="s">
        <v>22</v>
      </c>
      <c r="C40" s="152">
        <v>992155</v>
      </c>
      <c r="D40" s="152">
        <f t="shared" si="8"/>
        <v>-221634</v>
      </c>
      <c r="E40" s="152">
        <v>-221634</v>
      </c>
      <c r="F40" s="422" t="s">
        <v>394</v>
      </c>
      <c r="G40" s="152">
        <v>0</v>
      </c>
      <c r="H40" s="153"/>
      <c r="I40" s="152">
        <v>770521</v>
      </c>
      <c r="J40" s="152">
        <v>174244.68999999962</v>
      </c>
      <c r="K40" s="152">
        <v>770521</v>
      </c>
      <c r="L40" s="152">
        <f>I40-K40</f>
        <v>0</v>
      </c>
      <c r="M40" s="155">
        <f t="shared" si="7"/>
        <v>0</v>
      </c>
      <c r="N40" s="63"/>
      <c r="O40" s="63"/>
      <c r="P40" s="63"/>
    </row>
    <row r="41" spans="1:16" s="64" customFormat="1" ht="18" customHeight="1">
      <c r="A41" s="160" t="s">
        <v>113</v>
      </c>
      <c r="B41" s="163" t="s">
        <v>23</v>
      </c>
      <c r="C41" s="152">
        <v>35071483</v>
      </c>
      <c r="D41" s="152">
        <f t="shared" si="8"/>
        <v>5166193</v>
      </c>
      <c r="E41" s="152">
        <v>5166193</v>
      </c>
      <c r="F41" s="422" t="s">
        <v>401</v>
      </c>
      <c r="G41" s="152">
        <v>0</v>
      </c>
      <c r="H41" s="153"/>
      <c r="I41" s="152">
        <v>40237676</v>
      </c>
      <c r="J41" s="152">
        <v>14080502.879999844</v>
      </c>
      <c r="K41" s="152">
        <v>37280926</v>
      </c>
      <c r="L41" s="152">
        <f>I41-K41</f>
        <v>2956750</v>
      </c>
      <c r="M41" s="155">
        <f t="shared" si="7"/>
        <v>0</v>
      </c>
      <c r="N41" s="63"/>
      <c r="O41" s="63"/>
      <c r="P41" s="63"/>
    </row>
    <row r="42" spans="1:16" s="74" customFormat="1" ht="7.5" customHeight="1">
      <c r="A42" s="160"/>
      <c r="B42" s="163"/>
      <c r="C42" s="152"/>
      <c r="D42" s="152"/>
      <c r="E42" s="152"/>
      <c r="F42" s="422"/>
      <c r="G42" s="153"/>
      <c r="H42" s="153"/>
      <c r="I42" s="152"/>
      <c r="J42" s="152"/>
      <c r="K42" s="152"/>
      <c r="L42" s="152"/>
      <c r="M42" s="155">
        <f t="shared" si="7"/>
        <v>0</v>
      </c>
      <c r="N42" s="72"/>
      <c r="O42" s="72"/>
      <c r="P42" s="72"/>
    </row>
    <row r="43" spans="1:16" s="73" customFormat="1" ht="18" customHeight="1">
      <c r="A43" s="156" t="s">
        <v>363</v>
      </c>
      <c r="B43" s="157"/>
      <c r="C43" s="158">
        <f>SUM(C38:C41)</f>
        <v>67043943</v>
      </c>
      <c r="D43" s="158">
        <f>SUM(D38:D41)</f>
        <v>4294530</v>
      </c>
      <c r="E43" s="158">
        <v>4294530</v>
      </c>
      <c r="F43" s="423"/>
      <c r="G43" s="158">
        <f>SUM(G38:G41)</f>
        <v>0</v>
      </c>
      <c r="H43" s="159"/>
      <c r="I43" s="158">
        <f>SUM(I38:I41)</f>
        <v>71338473</v>
      </c>
      <c r="J43" s="158">
        <f>SUM(J38:J41)</f>
        <v>30311070.229999699</v>
      </c>
      <c r="K43" s="158">
        <f>SUM(K38:K41)</f>
        <v>65753928</v>
      </c>
      <c r="L43" s="158">
        <f>SUM(L38:L41)</f>
        <v>5584545</v>
      </c>
      <c r="M43" s="155">
        <f t="shared" si="7"/>
        <v>0</v>
      </c>
      <c r="O43" s="63"/>
      <c r="P43" s="63"/>
    </row>
    <row r="44" spans="1:16" s="73" customFormat="1" ht="18" customHeight="1">
      <c r="A44" s="164" t="s">
        <v>199</v>
      </c>
      <c r="B44" s="161" t="s">
        <v>125</v>
      </c>
      <c r="C44" s="152">
        <v>37715330</v>
      </c>
      <c r="D44" s="152">
        <f t="shared" ref="D44" si="9">E44+G44</f>
        <v>44498773</v>
      </c>
      <c r="E44" s="152">
        <v>44498773</v>
      </c>
      <c r="F44" s="422" t="s">
        <v>402</v>
      </c>
      <c r="G44" s="152">
        <v>0</v>
      </c>
      <c r="H44" s="153"/>
      <c r="I44" s="152">
        <v>82214103</v>
      </c>
      <c r="J44" s="152">
        <v>15117678.769999981</v>
      </c>
      <c r="K44" s="152">
        <v>60871405</v>
      </c>
      <c r="L44" s="152">
        <f>I44-K44</f>
        <v>21342698</v>
      </c>
      <c r="M44" s="155">
        <f t="shared" si="7"/>
        <v>0</v>
      </c>
      <c r="O44" s="63"/>
      <c r="P44" s="63"/>
    </row>
    <row r="45" spans="1:16" s="75" customFormat="1" ht="7.5" customHeight="1">
      <c r="A45" s="164"/>
      <c r="B45" s="161"/>
      <c r="C45" s="152"/>
      <c r="D45" s="152"/>
      <c r="E45" s="152"/>
      <c r="F45" s="422"/>
      <c r="G45" s="153"/>
      <c r="H45" s="153"/>
      <c r="I45" s="152"/>
      <c r="J45" s="152"/>
      <c r="K45" s="152"/>
      <c r="L45" s="152"/>
      <c r="M45" s="155">
        <f t="shared" si="7"/>
        <v>0</v>
      </c>
      <c r="O45" s="72"/>
      <c r="P45" s="72"/>
    </row>
    <row r="46" spans="1:16" s="73" customFormat="1" ht="18" customHeight="1">
      <c r="A46" s="156" t="s">
        <v>219</v>
      </c>
      <c r="B46" s="157"/>
      <c r="C46" s="158">
        <f>SUM(C44)</f>
        <v>37715330</v>
      </c>
      <c r="D46" s="158">
        <f>D44</f>
        <v>44498773</v>
      </c>
      <c r="E46" s="158">
        <v>44498773</v>
      </c>
      <c r="F46" s="423"/>
      <c r="G46" s="159">
        <f>SUM(G44:G45)</f>
        <v>0</v>
      </c>
      <c r="H46" s="159"/>
      <c r="I46" s="158">
        <f>I44</f>
        <v>82214103</v>
      </c>
      <c r="J46" s="158">
        <f>J44</f>
        <v>15117678.769999981</v>
      </c>
      <c r="K46" s="158">
        <f>K44</f>
        <v>60871405</v>
      </c>
      <c r="L46" s="158">
        <f>L44</f>
        <v>21342698</v>
      </c>
      <c r="M46" s="155">
        <f t="shared" si="7"/>
        <v>0</v>
      </c>
      <c r="N46" s="63"/>
      <c r="O46" s="63"/>
      <c r="P46" s="63"/>
    </row>
    <row r="47" spans="1:16" s="75" customFormat="1" ht="7.5" customHeight="1">
      <c r="A47" s="165"/>
      <c r="B47" s="166"/>
      <c r="C47" s="167"/>
      <c r="D47" s="167"/>
      <c r="E47" s="167"/>
      <c r="F47" s="424"/>
      <c r="G47" s="168"/>
      <c r="H47" s="168"/>
      <c r="I47" s="167"/>
      <c r="J47" s="167"/>
      <c r="K47" s="167"/>
      <c r="L47" s="167"/>
      <c r="M47" s="155">
        <f t="shared" si="7"/>
        <v>0</v>
      </c>
      <c r="N47" s="72"/>
      <c r="O47" s="72"/>
      <c r="P47" s="72"/>
    </row>
    <row r="48" spans="1:16" s="73" customFormat="1" ht="18" customHeight="1" thickBot="1">
      <c r="A48" s="169" t="s">
        <v>364</v>
      </c>
      <c r="B48" s="170"/>
      <c r="C48" s="171">
        <f>SUM(C43,C37,C34,C29,C21,C7,C46)</f>
        <v>1740549443</v>
      </c>
      <c r="D48" s="171">
        <f>SUM(D43,D37,D34,D29,D21,D7+D46)</f>
        <v>188275745</v>
      </c>
      <c r="E48" s="171">
        <v>186784093</v>
      </c>
      <c r="F48" s="425"/>
      <c r="G48" s="171">
        <f>SUM(G43,G37,G34,G29,G21,G7,G46)</f>
        <v>1491652</v>
      </c>
      <c r="H48" s="172"/>
      <c r="I48" s="171">
        <f>SUM(I43,I37,I34,I29,I21,I7,I46)</f>
        <v>1928825188</v>
      </c>
      <c r="J48" s="171">
        <f>SUM(J43,J37,J34,J29,J21,J7,J46)</f>
        <v>933903040.86999595</v>
      </c>
      <c r="K48" s="171">
        <f>SUM(K43,K37,K34,K29,K21,K7,K46)</f>
        <v>1987135014</v>
      </c>
      <c r="L48" s="171">
        <f>SUM(L43,L37,L34,L29,L21,L7,L46)</f>
        <v>-58309826</v>
      </c>
      <c r="M48" s="155">
        <f t="shared" si="7"/>
        <v>0</v>
      </c>
      <c r="N48" s="63"/>
      <c r="O48" s="63"/>
      <c r="P48" s="63"/>
    </row>
    <row r="49" spans="1:17" s="76" customFormat="1" ht="18" customHeight="1" thickTop="1">
      <c r="A49" s="173"/>
      <c r="B49" s="161"/>
      <c r="C49" s="152"/>
      <c r="D49" s="152"/>
      <c r="E49" s="152"/>
      <c r="F49" s="422"/>
      <c r="G49" s="152"/>
      <c r="H49" s="152"/>
      <c r="I49" s="152"/>
      <c r="J49" s="152"/>
      <c r="K49" s="152"/>
      <c r="L49" s="152"/>
      <c r="M49" s="155">
        <f t="shared" si="7"/>
        <v>0</v>
      </c>
      <c r="O49" s="77"/>
      <c r="P49" s="77"/>
      <c r="Q49" s="77"/>
    </row>
    <row r="50" spans="1:17" s="76" customFormat="1" ht="18" customHeight="1">
      <c r="A50" s="174" t="s">
        <v>51</v>
      </c>
      <c r="B50" s="161"/>
      <c r="C50" s="152"/>
      <c r="D50" s="152"/>
      <c r="E50" s="152"/>
      <c r="F50" s="422"/>
      <c r="G50" s="152"/>
      <c r="H50" s="152"/>
      <c r="I50" s="152"/>
      <c r="J50" s="152"/>
      <c r="K50" s="152"/>
      <c r="L50" s="152"/>
      <c r="M50" s="155">
        <f t="shared" si="7"/>
        <v>0</v>
      </c>
    </row>
    <row r="51" spans="1:17" s="76" customFormat="1" ht="18" customHeight="1">
      <c r="A51" s="164"/>
      <c r="B51" s="161" t="s">
        <v>4</v>
      </c>
      <c r="C51" s="152">
        <v>926369152</v>
      </c>
      <c r="D51" s="152">
        <f>I51-C51</f>
        <v>86204730</v>
      </c>
      <c r="E51" s="152">
        <v>86204730</v>
      </c>
      <c r="F51" s="422"/>
      <c r="G51" s="152">
        <v>0</v>
      </c>
      <c r="H51" s="153"/>
      <c r="I51" s="152">
        <v>1012573882</v>
      </c>
      <c r="J51" s="152">
        <v>529343914.48997772</v>
      </c>
      <c r="K51" s="152">
        <v>1075839365</v>
      </c>
      <c r="L51" s="152">
        <f>I51-K51</f>
        <v>-63265483</v>
      </c>
      <c r="M51" s="155">
        <f t="shared" si="7"/>
        <v>0</v>
      </c>
      <c r="N51" s="64"/>
      <c r="O51" s="397"/>
    </row>
    <row r="52" spans="1:17" s="76" customFormat="1" ht="18" customHeight="1">
      <c r="A52" s="164"/>
      <c r="B52" s="161" t="s">
        <v>5</v>
      </c>
      <c r="C52" s="152">
        <v>5685701</v>
      </c>
      <c r="D52" s="152">
        <f>I52-C52</f>
        <v>0</v>
      </c>
      <c r="E52" s="152">
        <v>0</v>
      </c>
      <c r="F52" s="422"/>
      <c r="G52" s="152">
        <v>0</v>
      </c>
      <c r="H52" s="153"/>
      <c r="I52" s="152">
        <v>5685701</v>
      </c>
      <c r="J52" s="152">
        <v>5685701</v>
      </c>
      <c r="K52" s="152">
        <v>5685701</v>
      </c>
      <c r="L52" s="152">
        <f>I52-K52</f>
        <v>0</v>
      </c>
      <c r="M52" s="155">
        <f t="shared" si="7"/>
        <v>0</v>
      </c>
      <c r="N52" s="64"/>
      <c r="O52" s="397"/>
    </row>
    <row r="53" spans="1:17" s="73" customFormat="1" ht="18" customHeight="1">
      <c r="A53" s="175"/>
      <c r="B53" s="176" t="s">
        <v>52</v>
      </c>
      <c r="C53" s="152">
        <f>SUM(C51:C52)</f>
        <v>932054853</v>
      </c>
      <c r="D53" s="152">
        <f>I53-C53</f>
        <v>86204730</v>
      </c>
      <c r="E53" s="152">
        <v>86204730</v>
      </c>
      <c r="F53" s="422"/>
      <c r="G53" s="152">
        <f>SUM(G51:G52)</f>
        <v>0</v>
      </c>
      <c r="H53" s="153"/>
      <c r="I53" s="152">
        <f>SUM(I51:I52)</f>
        <v>1018259583</v>
      </c>
      <c r="J53" s="152">
        <f>SUM(J51:J52)</f>
        <v>535029615.48997772</v>
      </c>
      <c r="K53" s="152">
        <f>SUM(K51:K52)</f>
        <v>1081525066</v>
      </c>
      <c r="L53" s="152">
        <f>I53-K53</f>
        <v>-63265483</v>
      </c>
      <c r="M53" s="155">
        <f t="shared" si="7"/>
        <v>0</v>
      </c>
      <c r="N53" s="64"/>
      <c r="O53" s="397"/>
    </row>
    <row r="54" spans="1:17" s="76" customFormat="1" ht="18" customHeight="1">
      <c r="A54" s="164"/>
      <c r="B54" s="161" t="s">
        <v>6</v>
      </c>
      <c r="C54" s="152">
        <v>798748603</v>
      </c>
      <c r="D54" s="152">
        <f>I54-C54</f>
        <v>103305441</v>
      </c>
      <c r="E54" s="152">
        <v>101813789</v>
      </c>
      <c r="F54" s="422"/>
      <c r="G54" s="152">
        <v>1491652</v>
      </c>
      <c r="H54" s="153"/>
      <c r="I54" s="152">
        <v>902054044</v>
      </c>
      <c r="J54" s="152">
        <v>394562410.60999364</v>
      </c>
      <c r="K54" s="152">
        <v>897068047</v>
      </c>
      <c r="L54" s="152">
        <f>I54-K54</f>
        <v>4985997</v>
      </c>
      <c r="M54" s="155">
        <f t="shared" si="7"/>
        <v>0</v>
      </c>
      <c r="N54" s="64"/>
      <c r="O54" s="397"/>
    </row>
    <row r="55" spans="1:17" s="76" customFormat="1" ht="18" customHeight="1">
      <c r="A55" s="164"/>
      <c r="B55" s="161" t="s">
        <v>36</v>
      </c>
      <c r="C55" s="152">
        <v>9745987</v>
      </c>
      <c r="D55" s="152">
        <f>I55-C55</f>
        <v>-1234426</v>
      </c>
      <c r="E55" s="152">
        <v>-1234426</v>
      </c>
      <c r="F55" s="422"/>
      <c r="G55" s="152">
        <v>0</v>
      </c>
      <c r="H55" s="152"/>
      <c r="I55" s="152">
        <v>8511561</v>
      </c>
      <c r="J55" s="152">
        <v>4311014.7700000033</v>
      </c>
      <c r="K55" s="152">
        <v>8541901</v>
      </c>
      <c r="L55" s="152">
        <f>I55-K55</f>
        <v>-30340</v>
      </c>
      <c r="M55" s="155">
        <f t="shared" si="7"/>
        <v>0</v>
      </c>
      <c r="N55" s="64"/>
      <c r="O55" s="397"/>
    </row>
    <row r="56" spans="1:17" s="73" customFormat="1" ht="18" customHeight="1">
      <c r="A56" s="156" t="s">
        <v>37</v>
      </c>
      <c r="B56" s="177"/>
      <c r="C56" s="158">
        <f>SUM(C53:C55)</f>
        <v>1740549443</v>
      </c>
      <c r="D56" s="158">
        <f t="shared" ref="D56:L56" si="10">SUM(D53:D55)</f>
        <v>188275745</v>
      </c>
      <c r="E56" s="158">
        <v>186784093</v>
      </c>
      <c r="F56" s="423"/>
      <c r="G56" s="158">
        <f t="shared" si="10"/>
        <v>1491652</v>
      </c>
      <c r="H56" s="158"/>
      <c r="I56" s="158">
        <f t="shared" si="10"/>
        <v>1928825188</v>
      </c>
      <c r="J56" s="158">
        <f t="shared" si="10"/>
        <v>933903040.86997128</v>
      </c>
      <c r="K56" s="158">
        <f t="shared" si="10"/>
        <v>1987135014</v>
      </c>
      <c r="L56" s="158">
        <f t="shared" si="10"/>
        <v>-58309826</v>
      </c>
      <c r="M56" s="155">
        <f t="shared" si="7"/>
        <v>0</v>
      </c>
      <c r="N56" s="64"/>
    </row>
    <row r="57" spans="1:17" s="76" customFormat="1" ht="18" customHeight="1">
      <c r="A57" s="178"/>
      <c r="B57" s="178"/>
      <c r="C57" s="179"/>
      <c r="D57" s="179"/>
      <c r="E57" s="179"/>
      <c r="F57" s="180"/>
      <c r="G57" s="180"/>
      <c r="H57" s="180"/>
      <c r="I57" s="179"/>
      <c r="J57" s="179"/>
      <c r="K57" s="179"/>
      <c r="L57" s="179"/>
      <c r="M57" s="181"/>
    </row>
    <row r="58" spans="1:17" s="71" customFormat="1" ht="18" customHeight="1">
      <c r="A58" s="184" t="s">
        <v>216</v>
      </c>
      <c r="B58" s="185" t="s">
        <v>230</v>
      </c>
      <c r="C58" s="186"/>
      <c r="D58" s="186"/>
      <c r="E58" s="186"/>
      <c r="F58" s="187"/>
      <c r="G58" s="183"/>
      <c r="H58" s="183"/>
      <c r="I58" s="182"/>
      <c r="J58" s="182"/>
      <c r="K58" s="182"/>
      <c r="L58" s="182"/>
      <c r="M58" s="66"/>
    </row>
    <row r="59" spans="1:17" s="71" customFormat="1" ht="18" customHeight="1">
      <c r="A59" s="184" t="s">
        <v>273</v>
      </c>
      <c r="B59" s="185" t="s">
        <v>276</v>
      </c>
      <c r="C59" s="186"/>
      <c r="D59" s="186"/>
      <c r="E59" s="186"/>
      <c r="F59" s="187"/>
      <c r="G59" s="183"/>
      <c r="H59" s="183"/>
      <c r="I59" s="182"/>
      <c r="J59" s="182"/>
      <c r="K59" s="182"/>
      <c r="L59" s="182"/>
      <c r="M59" s="66"/>
    </row>
    <row r="60" spans="1:17" s="71" customFormat="1" ht="18" customHeight="1">
      <c r="A60" s="184" t="s">
        <v>267</v>
      </c>
      <c r="B60" s="185" t="s">
        <v>268</v>
      </c>
      <c r="C60" s="400" t="s">
        <v>395</v>
      </c>
      <c r="D60" s="186"/>
      <c r="E60" s="186"/>
      <c r="F60" s="187"/>
      <c r="G60" s="183"/>
      <c r="H60" s="183"/>
      <c r="I60" s="182"/>
      <c r="J60" s="182"/>
      <c r="K60" s="182"/>
      <c r="L60" s="182"/>
      <c r="M60" s="66"/>
    </row>
    <row r="61" spans="1:17" s="71" customFormat="1" ht="18" customHeight="1">
      <c r="A61" s="184" t="s">
        <v>269</v>
      </c>
      <c r="B61" s="185" t="s">
        <v>270</v>
      </c>
      <c r="C61" s="186"/>
      <c r="D61" s="186"/>
      <c r="E61" s="186"/>
      <c r="F61" s="187"/>
      <c r="G61" s="183"/>
      <c r="H61" s="183"/>
      <c r="I61" s="182"/>
      <c r="J61" s="182"/>
      <c r="K61" s="182"/>
      <c r="L61" s="182"/>
      <c r="M61" s="66"/>
    </row>
    <row r="62" spans="1:17" s="71" customFormat="1" ht="18" customHeight="1">
      <c r="A62" s="184" t="s">
        <v>215</v>
      </c>
      <c r="B62" s="185" t="s">
        <v>214</v>
      </c>
      <c r="C62" s="186"/>
      <c r="D62" s="186"/>
      <c r="E62" s="186"/>
      <c r="F62" s="187"/>
      <c r="G62" s="183"/>
      <c r="H62" s="183"/>
      <c r="I62" s="182"/>
      <c r="J62" s="182"/>
      <c r="K62" s="182"/>
      <c r="L62" s="182"/>
      <c r="M62" s="66"/>
    </row>
    <row r="63" spans="1:17" s="71" customFormat="1" ht="18" customHeight="1">
      <c r="A63" s="184" t="s">
        <v>271</v>
      </c>
      <c r="B63" s="185" t="s">
        <v>272</v>
      </c>
      <c r="C63" s="186"/>
      <c r="D63" s="186"/>
      <c r="E63" s="186"/>
      <c r="F63" s="187"/>
      <c r="G63" s="183"/>
      <c r="H63" s="183"/>
      <c r="I63" s="182"/>
      <c r="J63" s="182"/>
      <c r="K63" s="182"/>
      <c r="L63" s="182"/>
      <c r="M63" s="66"/>
    </row>
    <row r="64" spans="1:17" s="71" customFormat="1" ht="18" customHeight="1">
      <c r="A64" s="184" t="s">
        <v>185</v>
      </c>
      <c r="B64" s="185" t="s">
        <v>365</v>
      </c>
      <c r="C64" s="188"/>
      <c r="D64" s="188"/>
      <c r="E64" s="188"/>
      <c r="F64" s="188"/>
      <c r="G64" s="183"/>
      <c r="H64" s="183"/>
      <c r="I64" s="182"/>
      <c r="J64" s="182"/>
      <c r="K64" s="182"/>
      <c r="L64" s="182"/>
      <c r="M64" s="66"/>
    </row>
    <row r="65" spans="1:13" s="71" customFormat="1" ht="18" customHeight="1">
      <c r="A65" s="184" t="s">
        <v>274</v>
      </c>
      <c r="B65" s="185" t="s">
        <v>275</v>
      </c>
      <c r="C65" s="188"/>
      <c r="D65" s="188"/>
      <c r="E65" s="188"/>
      <c r="F65" s="188"/>
      <c r="G65" s="183"/>
      <c r="H65" s="183"/>
      <c r="I65" s="182"/>
      <c r="J65" s="182"/>
      <c r="K65" s="182"/>
      <c r="L65" s="182"/>
      <c r="M65" s="66"/>
    </row>
    <row r="66" spans="1:13" s="71" customFormat="1" ht="18" customHeight="1">
      <c r="A66" s="184" t="s">
        <v>388</v>
      </c>
      <c r="B66" s="185" t="s">
        <v>389</v>
      </c>
      <c r="C66" s="188"/>
      <c r="D66" s="188"/>
      <c r="E66" s="188"/>
      <c r="F66" s="188"/>
      <c r="G66" s="183"/>
      <c r="H66" s="183"/>
      <c r="I66" s="182"/>
      <c r="J66" s="182"/>
      <c r="K66" s="182"/>
      <c r="L66" s="182"/>
      <c r="M66" s="66"/>
    </row>
    <row r="67" spans="1:13" s="71" customFormat="1" ht="18" customHeight="1">
      <c r="A67" s="184" t="s">
        <v>287</v>
      </c>
      <c r="B67" s="185" t="s">
        <v>289</v>
      </c>
      <c r="C67" s="188"/>
      <c r="D67" s="188"/>
      <c r="E67" s="188"/>
      <c r="F67" s="188"/>
      <c r="G67" s="183"/>
      <c r="H67" s="183"/>
      <c r="I67" s="182"/>
      <c r="J67" s="182"/>
      <c r="K67" s="182"/>
      <c r="L67" s="182"/>
      <c r="M67" s="66"/>
    </row>
    <row r="68" spans="1:13" s="71" customFormat="1" ht="18" customHeight="1">
      <c r="A68" s="184" t="s">
        <v>277</v>
      </c>
      <c r="B68" s="185" t="s">
        <v>278</v>
      </c>
      <c r="C68" s="186"/>
      <c r="D68" s="186"/>
      <c r="E68" s="186"/>
      <c r="F68" s="187"/>
      <c r="G68" s="183"/>
      <c r="H68" s="183"/>
      <c r="I68" s="182"/>
      <c r="J68" s="182"/>
      <c r="K68" s="182"/>
      <c r="L68" s="182"/>
      <c r="M68" s="66"/>
    </row>
    <row r="69" spans="1:13" s="71" customFormat="1" ht="18" customHeight="1">
      <c r="A69" s="184" t="s">
        <v>355</v>
      </c>
      <c r="B69" s="185" t="s">
        <v>366</v>
      </c>
      <c r="C69" s="186"/>
      <c r="D69" s="186"/>
      <c r="E69" s="186"/>
      <c r="F69" s="187"/>
      <c r="G69" s="183"/>
      <c r="H69" s="183"/>
      <c r="I69" s="182"/>
      <c r="J69" s="182"/>
      <c r="K69" s="182"/>
      <c r="L69" s="182"/>
      <c r="M69" s="66"/>
    </row>
    <row r="70" spans="1:13" s="71" customFormat="1" ht="18" customHeight="1">
      <c r="A70" s="184" t="s">
        <v>385</v>
      </c>
      <c r="B70" s="185" t="s">
        <v>386</v>
      </c>
      <c r="C70" s="182"/>
      <c r="D70" s="182"/>
      <c r="E70" s="182"/>
      <c r="F70" s="183"/>
      <c r="G70" s="183"/>
      <c r="H70" s="183"/>
      <c r="I70" s="182"/>
      <c r="J70" s="182"/>
      <c r="K70" s="182"/>
      <c r="L70" s="182"/>
      <c r="M70" s="66"/>
    </row>
    <row r="71" spans="1:13" s="71" customFormat="1" ht="18" customHeight="1">
      <c r="C71" s="78"/>
      <c r="D71" s="78"/>
      <c r="E71" s="78"/>
      <c r="F71" s="79"/>
      <c r="G71" s="79"/>
      <c r="H71" s="79"/>
      <c r="I71" s="78"/>
      <c r="J71" s="78"/>
      <c r="K71" s="78"/>
      <c r="L71" s="78"/>
      <c r="M71" s="70"/>
    </row>
    <row r="72" spans="1:13" s="71" customFormat="1" ht="18" customHeight="1">
      <c r="C72" s="78"/>
      <c r="D72" s="78"/>
      <c r="E72" s="78"/>
      <c r="F72" s="79"/>
      <c r="G72" s="79"/>
      <c r="H72" s="79"/>
      <c r="I72" s="78"/>
      <c r="J72" s="78"/>
      <c r="K72" s="78"/>
      <c r="L72" s="78"/>
      <c r="M72" s="70"/>
    </row>
    <row r="73" spans="1:13" s="71" customFormat="1" ht="18" customHeight="1">
      <c r="C73" s="78"/>
      <c r="D73" s="78"/>
      <c r="E73" s="78"/>
      <c r="F73" s="79"/>
      <c r="G73" s="79"/>
      <c r="H73" s="79"/>
      <c r="I73" s="78"/>
      <c r="J73" s="78"/>
      <c r="K73" s="78"/>
      <c r="L73" s="78"/>
      <c r="M73" s="70"/>
    </row>
    <row r="74" spans="1:13" s="71" customFormat="1" ht="18" customHeight="1">
      <c r="C74" s="78"/>
      <c r="D74" s="78"/>
      <c r="E74" s="78"/>
      <c r="F74" s="79"/>
      <c r="G74" s="79"/>
      <c r="H74" s="79"/>
      <c r="I74" s="78"/>
      <c r="J74" s="78"/>
      <c r="K74" s="78"/>
      <c r="L74" s="78"/>
      <c r="M74" s="70"/>
    </row>
    <row r="75" spans="1:13" s="71" customFormat="1" ht="18" customHeight="1">
      <c r="C75" s="78"/>
      <c r="D75" s="78"/>
      <c r="E75" s="78"/>
      <c r="F75" s="79"/>
      <c r="G75" s="79"/>
      <c r="H75" s="79"/>
      <c r="I75" s="78"/>
      <c r="J75" s="78"/>
      <c r="K75" s="78"/>
      <c r="L75" s="78"/>
      <c r="M75" s="70"/>
    </row>
    <row r="76" spans="1:13" s="71" customFormat="1" ht="18" customHeight="1">
      <c r="C76" s="78"/>
      <c r="D76" s="78"/>
      <c r="E76" s="78"/>
      <c r="F76" s="79"/>
      <c r="G76" s="79"/>
      <c r="H76" s="79"/>
      <c r="I76" s="78"/>
      <c r="J76" s="78"/>
      <c r="K76" s="78"/>
      <c r="L76" s="78"/>
      <c r="M76" s="70"/>
    </row>
    <row r="77" spans="1:13" s="71" customFormat="1" ht="18" customHeight="1">
      <c r="C77" s="78"/>
      <c r="D77" s="78"/>
      <c r="E77" s="78"/>
      <c r="F77" s="79"/>
      <c r="G77" s="79"/>
      <c r="H77" s="79"/>
      <c r="I77" s="78"/>
      <c r="J77" s="78"/>
      <c r="K77" s="78"/>
      <c r="L77" s="78"/>
      <c r="M77" s="70"/>
    </row>
    <row r="78" spans="1:13" s="71" customFormat="1" ht="18" customHeight="1">
      <c r="C78" s="78"/>
      <c r="D78" s="78"/>
      <c r="E78" s="78"/>
      <c r="F78" s="79"/>
      <c r="G78" s="79"/>
      <c r="H78" s="79"/>
      <c r="I78" s="78"/>
      <c r="J78" s="78"/>
      <c r="K78" s="78"/>
      <c r="L78" s="78"/>
      <c r="M78" s="70"/>
    </row>
    <row r="79" spans="1:13" s="71" customFormat="1" ht="18" customHeight="1">
      <c r="C79" s="78"/>
      <c r="D79" s="78"/>
      <c r="E79" s="78"/>
      <c r="F79" s="79"/>
      <c r="G79" s="79"/>
      <c r="H79" s="79"/>
      <c r="I79" s="78"/>
      <c r="J79" s="78"/>
      <c r="K79" s="78"/>
      <c r="L79" s="78"/>
      <c r="M79" s="70"/>
    </row>
    <row r="80" spans="1:13" s="71" customFormat="1" ht="18" customHeight="1">
      <c r="C80" s="78"/>
      <c r="D80" s="78"/>
      <c r="E80" s="78"/>
      <c r="F80" s="79"/>
      <c r="G80" s="79"/>
      <c r="H80" s="79"/>
      <c r="I80" s="78"/>
      <c r="J80" s="78"/>
      <c r="K80" s="78"/>
      <c r="L80" s="78"/>
      <c r="M80" s="70"/>
    </row>
    <row r="81" spans="3:13" s="71" customFormat="1" ht="18" customHeight="1">
      <c r="C81" s="78"/>
      <c r="D81" s="78"/>
      <c r="E81" s="78"/>
      <c r="F81" s="79"/>
      <c r="G81" s="79"/>
      <c r="H81" s="79"/>
      <c r="I81" s="78"/>
      <c r="J81" s="78"/>
      <c r="K81" s="78"/>
      <c r="L81" s="78"/>
      <c r="M81" s="70"/>
    </row>
    <row r="82" spans="3:13" s="71" customFormat="1" ht="18" customHeight="1">
      <c r="C82" s="78"/>
      <c r="D82" s="78"/>
      <c r="E82" s="78"/>
      <c r="F82" s="79"/>
      <c r="G82" s="79"/>
      <c r="H82" s="79"/>
      <c r="I82" s="78"/>
      <c r="J82" s="78"/>
      <c r="K82" s="78"/>
      <c r="L82" s="78"/>
      <c r="M82" s="70"/>
    </row>
    <row r="83" spans="3:13" s="71" customFormat="1" ht="18" customHeight="1">
      <c r="C83" s="78"/>
      <c r="D83" s="78"/>
      <c r="E83" s="78"/>
      <c r="F83" s="79"/>
      <c r="G83" s="79"/>
      <c r="H83" s="79"/>
      <c r="I83" s="78"/>
      <c r="J83" s="78"/>
      <c r="K83" s="78"/>
      <c r="L83" s="78"/>
      <c r="M83" s="70"/>
    </row>
    <row r="84" spans="3:13" s="71" customFormat="1" ht="18" customHeight="1">
      <c r="C84" s="78"/>
      <c r="D84" s="78"/>
      <c r="E84" s="78"/>
      <c r="F84" s="79"/>
      <c r="G84" s="79"/>
      <c r="H84" s="79"/>
      <c r="I84" s="78"/>
      <c r="J84" s="78"/>
      <c r="K84" s="78"/>
      <c r="L84" s="78"/>
      <c r="M84" s="70"/>
    </row>
    <row r="85" spans="3:13" s="71" customFormat="1" ht="18" customHeight="1">
      <c r="C85" s="78"/>
      <c r="D85" s="78"/>
      <c r="E85" s="78"/>
      <c r="F85" s="79"/>
      <c r="G85" s="79"/>
      <c r="H85" s="79"/>
      <c r="I85" s="78"/>
      <c r="J85" s="78"/>
      <c r="K85" s="78"/>
      <c r="L85" s="78"/>
      <c r="M85" s="70"/>
    </row>
    <row r="86" spans="3:13" s="71" customFormat="1" ht="18" customHeight="1">
      <c r="C86" s="78"/>
      <c r="D86" s="78"/>
      <c r="E86" s="78"/>
      <c r="F86" s="79"/>
      <c r="G86" s="79"/>
      <c r="H86" s="79"/>
      <c r="I86" s="78"/>
      <c r="J86" s="78"/>
      <c r="K86" s="78"/>
      <c r="L86" s="78"/>
      <c r="M86" s="70"/>
    </row>
    <row r="87" spans="3:13" s="71" customFormat="1" ht="18" customHeight="1">
      <c r="C87" s="78"/>
      <c r="D87" s="78"/>
      <c r="E87" s="78"/>
      <c r="F87" s="79"/>
      <c r="G87" s="79"/>
      <c r="H87" s="79"/>
      <c r="I87" s="78"/>
      <c r="J87" s="78"/>
      <c r="K87" s="78"/>
      <c r="L87" s="78"/>
      <c r="M87" s="70"/>
    </row>
    <row r="88" spans="3:13" s="71" customFormat="1" ht="18" customHeight="1">
      <c r="C88" s="78"/>
      <c r="D88" s="78"/>
      <c r="E88" s="78"/>
      <c r="F88" s="79"/>
      <c r="G88" s="79"/>
      <c r="H88" s="79"/>
      <c r="I88" s="78"/>
      <c r="J88" s="78"/>
      <c r="K88" s="78"/>
      <c r="L88" s="78"/>
      <c r="M88" s="70"/>
    </row>
    <row r="89" spans="3:13" s="71" customFormat="1" ht="18" customHeight="1">
      <c r="C89" s="78"/>
      <c r="D89" s="78"/>
      <c r="E89" s="78"/>
      <c r="F89" s="79"/>
      <c r="G89" s="79"/>
      <c r="H89" s="79"/>
      <c r="I89" s="78"/>
      <c r="J89" s="78"/>
      <c r="K89" s="78"/>
      <c r="L89" s="78"/>
      <c r="M89" s="70"/>
    </row>
    <row r="90" spans="3:13" s="71" customFormat="1" ht="18" customHeight="1">
      <c r="C90" s="78"/>
      <c r="D90" s="78"/>
      <c r="E90" s="78"/>
      <c r="F90" s="79"/>
      <c r="G90" s="79"/>
      <c r="H90" s="79"/>
      <c r="I90" s="78"/>
      <c r="J90" s="78"/>
      <c r="K90" s="78"/>
      <c r="L90" s="78"/>
      <c r="M90" s="70"/>
    </row>
    <row r="91" spans="3:13" s="71" customFormat="1" ht="18" customHeight="1">
      <c r="C91" s="78"/>
      <c r="D91" s="78"/>
      <c r="E91" s="78"/>
      <c r="F91" s="79"/>
      <c r="G91" s="79"/>
      <c r="H91" s="79"/>
      <c r="I91" s="78"/>
      <c r="J91" s="78"/>
      <c r="K91" s="78"/>
      <c r="L91" s="78"/>
      <c r="M91" s="70"/>
    </row>
    <row r="92" spans="3:13" s="71" customFormat="1" ht="18" customHeight="1">
      <c r="C92" s="78"/>
      <c r="D92" s="78"/>
      <c r="E92" s="78"/>
      <c r="F92" s="79"/>
      <c r="G92" s="79"/>
      <c r="H92" s="79"/>
      <c r="I92" s="78"/>
      <c r="J92" s="78"/>
      <c r="K92" s="78"/>
      <c r="L92" s="78"/>
      <c r="M92" s="70"/>
    </row>
    <row r="93" spans="3:13" s="71" customFormat="1" ht="18" customHeight="1">
      <c r="C93" s="78"/>
      <c r="D93" s="78"/>
      <c r="E93" s="78"/>
      <c r="F93" s="79"/>
      <c r="G93" s="79"/>
      <c r="H93" s="79"/>
      <c r="I93" s="78"/>
      <c r="J93" s="78"/>
      <c r="K93" s="78"/>
      <c r="L93" s="78"/>
      <c r="M93" s="70"/>
    </row>
    <row r="94" spans="3:13" s="71" customFormat="1" ht="18" customHeight="1">
      <c r="C94" s="78"/>
      <c r="D94" s="78"/>
      <c r="E94" s="78"/>
      <c r="F94" s="79"/>
      <c r="G94" s="79"/>
      <c r="H94" s="79"/>
      <c r="I94" s="78"/>
      <c r="J94" s="78"/>
      <c r="K94" s="78"/>
      <c r="L94" s="78"/>
      <c r="M94" s="70"/>
    </row>
    <row r="95" spans="3:13" s="71" customFormat="1" ht="18" customHeight="1">
      <c r="C95" s="78"/>
      <c r="D95" s="78"/>
      <c r="E95" s="78"/>
      <c r="F95" s="79"/>
      <c r="G95" s="79"/>
      <c r="H95" s="79"/>
      <c r="I95" s="78"/>
      <c r="J95" s="78"/>
      <c r="K95" s="78"/>
      <c r="L95" s="78"/>
      <c r="M95" s="70"/>
    </row>
    <row r="96" spans="3:13" s="71" customFormat="1" ht="18" customHeight="1">
      <c r="C96" s="78"/>
      <c r="D96" s="78"/>
      <c r="E96" s="78"/>
      <c r="F96" s="79"/>
      <c r="G96" s="79"/>
      <c r="H96" s="79"/>
      <c r="I96" s="78"/>
      <c r="J96" s="78"/>
      <c r="K96" s="78"/>
      <c r="L96" s="78"/>
      <c r="M96" s="70"/>
    </row>
  </sheetData>
  <mergeCells count="3">
    <mergeCell ref="A1:L1"/>
    <mergeCell ref="A2:L2"/>
    <mergeCell ref="A3:L3"/>
  </mergeCells>
  <phoneticPr fontId="19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X45"/>
  <sheetViews>
    <sheetView topLeftCell="A10" zoomScale="85" zoomScaleNormal="85" zoomScaleSheetLayoutView="85" workbookViewId="0">
      <selection activeCell="H23" sqref="H23"/>
    </sheetView>
  </sheetViews>
  <sheetFormatPr defaultRowHeight="12.75"/>
  <cols>
    <col min="1" max="1" width="63.140625" style="489" bestFit="1" customWidth="1"/>
    <col min="2" max="2" width="11.28515625" style="461" hidden="1" customWidth="1"/>
    <col min="3" max="3" width="11.85546875" style="461" hidden="1" customWidth="1"/>
    <col min="4" max="5" width="12.140625" style="461" hidden="1" customWidth="1"/>
    <col min="6" max="7" width="11.85546875" style="461" hidden="1" customWidth="1"/>
    <col min="8" max="8" width="12.42578125" style="461" customWidth="1"/>
    <col min="9" max="9" width="12.140625" style="461" hidden="1" customWidth="1"/>
    <col min="10" max="10" width="12.5703125" style="461" hidden="1" customWidth="1"/>
    <col min="11" max="11" width="12.140625" style="461" hidden="1" customWidth="1"/>
    <col min="12" max="12" width="11.42578125" style="461" hidden="1" customWidth="1"/>
    <col min="13" max="13" width="12.42578125" style="461" hidden="1" customWidth="1"/>
    <col min="14" max="14" width="17" style="461" bestFit="1" customWidth="1"/>
    <col min="15" max="15" width="22" style="489" customWidth="1"/>
    <col min="16" max="16" width="22" style="490" hidden="1" customWidth="1"/>
    <col min="17" max="17" width="17" style="489" hidden="1" customWidth="1"/>
    <col min="18" max="18" width="15" style="489" hidden="1" customWidth="1"/>
    <col min="19" max="19" width="10.28515625" style="489" hidden="1" customWidth="1"/>
    <col min="20" max="20" width="22" style="489" hidden="1" customWidth="1"/>
    <col min="21" max="22" width="9.140625" style="489" hidden="1" customWidth="1"/>
    <col min="23" max="23" width="12.5703125" style="489" hidden="1" customWidth="1"/>
    <col min="24" max="24" width="10.28515625" style="489" hidden="1" customWidth="1"/>
    <col min="25" max="256" width="9.140625" style="489"/>
    <col min="257" max="257" width="56.5703125" style="489" bestFit="1" customWidth="1"/>
    <col min="258" max="258" width="10.5703125" style="489" bestFit="1" customWidth="1"/>
    <col min="259" max="269" width="0" style="489" hidden="1" customWidth="1"/>
    <col min="270" max="270" width="14.7109375" style="489" bestFit="1" customWidth="1"/>
    <col min="271" max="279" width="0" style="489" hidden="1" customWidth="1"/>
    <col min="280" max="280" width="10.28515625" style="489" customWidth="1"/>
    <col min="281" max="512" width="9.140625" style="489"/>
    <col min="513" max="513" width="56.5703125" style="489" bestFit="1" customWidth="1"/>
    <col min="514" max="514" width="10.5703125" style="489" bestFit="1" customWidth="1"/>
    <col min="515" max="525" width="0" style="489" hidden="1" customWidth="1"/>
    <col min="526" max="526" width="14.7109375" style="489" bestFit="1" customWidth="1"/>
    <col min="527" max="535" width="0" style="489" hidden="1" customWidth="1"/>
    <col min="536" max="536" width="10.28515625" style="489" customWidth="1"/>
    <col min="537" max="768" width="9.140625" style="489"/>
    <col min="769" max="769" width="56.5703125" style="489" bestFit="1" customWidth="1"/>
    <col min="770" max="770" width="10.5703125" style="489" bestFit="1" customWidth="1"/>
    <col min="771" max="781" width="0" style="489" hidden="1" customWidth="1"/>
    <col min="782" max="782" width="14.7109375" style="489" bestFit="1" customWidth="1"/>
    <col min="783" max="791" width="0" style="489" hidden="1" customWidth="1"/>
    <col min="792" max="792" width="10.28515625" style="489" customWidth="1"/>
    <col min="793" max="1024" width="9.140625" style="489"/>
    <col min="1025" max="1025" width="56.5703125" style="489" bestFit="1" customWidth="1"/>
    <col min="1026" max="1026" width="10.5703125" style="489" bestFit="1" customWidth="1"/>
    <col min="1027" max="1037" width="0" style="489" hidden="1" customWidth="1"/>
    <col min="1038" max="1038" width="14.7109375" style="489" bestFit="1" customWidth="1"/>
    <col min="1039" max="1047" width="0" style="489" hidden="1" customWidth="1"/>
    <col min="1048" max="1048" width="10.28515625" style="489" customWidth="1"/>
    <col min="1049" max="1280" width="9.140625" style="489"/>
    <col min="1281" max="1281" width="56.5703125" style="489" bestFit="1" customWidth="1"/>
    <col min="1282" max="1282" width="10.5703125" style="489" bestFit="1" customWidth="1"/>
    <col min="1283" max="1293" width="0" style="489" hidden="1" customWidth="1"/>
    <col min="1294" max="1294" width="14.7109375" style="489" bestFit="1" customWidth="1"/>
    <col min="1295" max="1303" width="0" style="489" hidden="1" customWidth="1"/>
    <col min="1304" max="1304" width="10.28515625" style="489" customWidth="1"/>
    <col min="1305" max="1536" width="9.140625" style="489"/>
    <col min="1537" max="1537" width="56.5703125" style="489" bestFit="1" customWidth="1"/>
    <col min="1538" max="1538" width="10.5703125" style="489" bestFit="1" customWidth="1"/>
    <col min="1539" max="1549" width="0" style="489" hidden="1" customWidth="1"/>
    <col min="1550" max="1550" width="14.7109375" style="489" bestFit="1" customWidth="1"/>
    <col min="1551" max="1559" width="0" style="489" hidden="1" customWidth="1"/>
    <col min="1560" max="1560" width="10.28515625" style="489" customWidth="1"/>
    <col min="1561" max="1792" width="9.140625" style="489"/>
    <col min="1793" max="1793" width="56.5703125" style="489" bestFit="1" customWidth="1"/>
    <col min="1794" max="1794" width="10.5703125" style="489" bestFit="1" customWidth="1"/>
    <col min="1795" max="1805" width="0" style="489" hidden="1" customWidth="1"/>
    <col min="1806" max="1806" width="14.7109375" style="489" bestFit="1" customWidth="1"/>
    <col min="1807" max="1815" width="0" style="489" hidden="1" customWidth="1"/>
    <col min="1816" max="1816" width="10.28515625" style="489" customWidth="1"/>
    <col min="1817" max="2048" width="9.140625" style="489"/>
    <col min="2049" max="2049" width="56.5703125" style="489" bestFit="1" customWidth="1"/>
    <col min="2050" max="2050" width="10.5703125" style="489" bestFit="1" customWidth="1"/>
    <col min="2051" max="2061" width="0" style="489" hidden="1" customWidth="1"/>
    <col min="2062" max="2062" width="14.7109375" style="489" bestFit="1" customWidth="1"/>
    <col min="2063" max="2071" width="0" style="489" hidden="1" customWidth="1"/>
    <col min="2072" max="2072" width="10.28515625" style="489" customWidth="1"/>
    <col min="2073" max="2304" width="9.140625" style="489"/>
    <col min="2305" max="2305" width="56.5703125" style="489" bestFit="1" customWidth="1"/>
    <col min="2306" max="2306" width="10.5703125" style="489" bestFit="1" customWidth="1"/>
    <col min="2307" max="2317" width="0" style="489" hidden="1" customWidth="1"/>
    <col min="2318" max="2318" width="14.7109375" style="489" bestFit="1" customWidth="1"/>
    <col min="2319" max="2327" width="0" style="489" hidden="1" customWidth="1"/>
    <col min="2328" max="2328" width="10.28515625" style="489" customWidth="1"/>
    <col min="2329" max="2560" width="9.140625" style="489"/>
    <col min="2561" max="2561" width="56.5703125" style="489" bestFit="1" customWidth="1"/>
    <col min="2562" max="2562" width="10.5703125" style="489" bestFit="1" customWidth="1"/>
    <col min="2563" max="2573" width="0" style="489" hidden="1" customWidth="1"/>
    <col min="2574" max="2574" width="14.7109375" style="489" bestFit="1" customWidth="1"/>
    <col min="2575" max="2583" width="0" style="489" hidden="1" customWidth="1"/>
    <col min="2584" max="2584" width="10.28515625" style="489" customWidth="1"/>
    <col min="2585" max="2816" width="9.140625" style="489"/>
    <col min="2817" max="2817" width="56.5703125" style="489" bestFit="1" customWidth="1"/>
    <col min="2818" max="2818" width="10.5703125" style="489" bestFit="1" customWidth="1"/>
    <col min="2819" max="2829" width="0" style="489" hidden="1" customWidth="1"/>
    <col min="2830" max="2830" width="14.7109375" style="489" bestFit="1" customWidth="1"/>
    <col min="2831" max="2839" width="0" style="489" hidden="1" customWidth="1"/>
    <col min="2840" max="2840" width="10.28515625" style="489" customWidth="1"/>
    <col min="2841" max="3072" width="9.140625" style="489"/>
    <col min="3073" max="3073" width="56.5703125" style="489" bestFit="1" customWidth="1"/>
    <col min="3074" max="3074" width="10.5703125" style="489" bestFit="1" customWidth="1"/>
    <col min="3075" max="3085" width="0" style="489" hidden="1" customWidth="1"/>
    <col min="3086" max="3086" width="14.7109375" style="489" bestFit="1" customWidth="1"/>
    <col min="3087" max="3095" width="0" style="489" hidden="1" customWidth="1"/>
    <col min="3096" max="3096" width="10.28515625" style="489" customWidth="1"/>
    <col min="3097" max="3328" width="9.140625" style="489"/>
    <col min="3329" max="3329" width="56.5703125" style="489" bestFit="1" customWidth="1"/>
    <col min="3330" max="3330" width="10.5703125" style="489" bestFit="1" customWidth="1"/>
    <col min="3331" max="3341" width="0" style="489" hidden="1" customWidth="1"/>
    <col min="3342" max="3342" width="14.7109375" style="489" bestFit="1" customWidth="1"/>
    <col min="3343" max="3351" width="0" style="489" hidden="1" customWidth="1"/>
    <col min="3352" max="3352" width="10.28515625" style="489" customWidth="1"/>
    <col min="3353" max="3584" width="9.140625" style="489"/>
    <col min="3585" max="3585" width="56.5703125" style="489" bestFit="1" customWidth="1"/>
    <col min="3586" max="3586" width="10.5703125" style="489" bestFit="1" customWidth="1"/>
    <col min="3587" max="3597" width="0" style="489" hidden="1" customWidth="1"/>
    <col min="3598" max="3598" width="14.7109375" style="489" bestFit="1" customWidth="1"/>
    <col min="3599" max="3607" width="0" style="489" hidden="1" customWidth="1"/>
    <col min="3608" max="3608" width="10.28515625" style="489" customWidth="1"/>
    <col min="3609" max="3840" width="9.140625" style="489"/>
    <col min="3841" max="3841" width="56.5703125" style="489" bestFit="1" customWidth="1"/>
    <col min="3842" max="3842" width="10.5703125" style="489" bestFit="1" customWidth="1"/>
    <col min="3843" max="3853" width="0" style="489" hidden="1" customWidth="1"/>
    <col min="3854" max="3854" width="14.7109375" style="489" bestFit="1" customWidth="1"/>
    <col min="3855" max="3863" width="0" style="489" hidden="1" customWidth="1"/>
    <col min="3864" max="3864" width="10.28515625" style="489" customWidth="1"/>
    <col min="3865" max="4096" width="9.140625" style="489"/>
    <col min="4097" max="4097" width="56.5703125" style="489" bestFit="1" customWidth="1"/>
    <col min="4098" max="4098" width="10.5703125" style="489" bestFit="1" customWidth="1"/>
    <col min="4099" max="4109" width="0" style="489" hidden="1" customWidth="1"/>
    <col min="4110" max="4110" width="14.7109375" style="489" bestFit="1" customWidth="1"/>
    <col min="4111" max="4119" width="0" style="489" hidden="1" customWidth="1"/>
    <col min="4120" max="4120" width="10.28515625" style="489" customWidth="1"/>
    <col min="4121" max="4352" width="9.140625" style="489"/>
    <col min="4353" max="4353" width="56.5703125" style="489" bestFit="1" customWidth="1"/>
    <col min="4354" max="4354" width="10.5703125" style="489" bestFit="1" customWidth="1"/>
    <col min="4355" max="4365" width="0" style="489" hidden="1" customWidth="1"/>
    <col min="4366" max="4366" width="14.7109375" style="489" bestFit="1" customWidth="1"/>
    <col min="4367" max="4375" width="0" style="489" hidden="1" customWidth="1"/>
    <col min="4376" max="4376" width="10.28515625" style="489" customWidth="1"/>
    <col min="4377" max="4608" width="9.140625" style="489"/>
    <col min="4609" max="4609" width="56.5703125" style="489" bestFit="1" customWidth="1"/>
    <col min="4610" max="4610" width="10.5703125" style="489" bestFit="1" customWidth="1"/>
    <col min="4611" max="4621" width="0" style="489" hidden="1" customWidth="1"/>
    <col min="4622" max="4622" width="14.7109375" style="489" bestFit="1" customWidth="1"/>
    <col min="4623" max="4631" width="0" style="489" hidden="1" customWidth="1"/>
    <col min="4632" max="4632" width="10.28515625" style="489" customWidth="1"/>
    <col min="4633" max="4864" width="9.140625" style="489"/>
    <col min="4865" max="4865" width="56.5703125" style="489" bestFit="1" customWidth="1"/>
    <col min="4866" max="4866" width="10.5703125" style="489" bestFit="1" customWidth="1"/>
    <col min="4867" max="4877" width="0" style="489" hidden="1" customWidth="1"/>
    <col min="4878" max="4878" width="14.7109375" style="489" bestFit="1" customWidth="1"/>
    <col min="4879" max="4887" width="0" style="489" hidden="1" customWidth="1"/>
    <col min="4888" max="4888" width="10.28515625" style="489" customWidth="1"/>
    <col min="4889" max="5120" width="9.140625" style="489"/>
    <col min="5121" max="5121" width="56.5703125" style="489" bestFit="1" customWidth="1"/>
    <col min="5122" max="5122" width="10.5703125" style="489" bestFit="1" customWidth="1"/>
    <col min="5123" max="5133" width="0" style="489" hidden="1" customWidth="1"/>
    <col min="5134" max="5134" width="14.7109375" style="489" bestFit="1" customWidth="1"/>
    <col min="5135" max="5143" width="0" style="489" hidden="1" customWidth="1"/>
    <col min="5144" max="5144" width="10.28515625" style="489" customWidth="1"/>
    <col min="5145" max="5376" width="9.140625" style="489"/>
    <col min="5377" max="5377" width="56.5703125" style="489" bestFit="1" customWidth="1"/>
    <col min="5378" max="5378" width="10.5703125" style="489" bestFit="1" customWidth="1"/>
    <col min="5379" max="5389" width="0" style="489" hidden="1" customWidth="1"/>
    <col min="5390" max="5390" width="14.7109375" style="489" bestFit="1" customWidth="1"/>
    <col min="5391" max="5399" width="0" style="489" hidden="1" customWidth="1"/>
    <col min="5400" max="5400" width="10.28515625" style="489" customWidth="1"/>
    <col min="5401" max="5632" width="9.140625" style="489"/>
    <col min="5633" max="5633" width="56.5703125" style="489" bestFit="1" customWidth="1"/>
    <col min="5634" max="5634" width="10.5703125" style="489" bestFit="1" customWidth="1"/>
    <col min="5635" max="5645" width="0" style="489" hidden="1" customWidth="1"/>
    <col min="5646" max="5646" width="14.7109375" style="489" bestFit="1" customWidth="1"/>
    <col min="5647" max="5655" width="0" style="489" hidden="1" customWidth="1"/>
    <col min="5656" max="5656" width="10.28515625" style="489" customWidth="1"/>
    <col min="5657" max="5888" width="9.140625" style="489"/>
    <col min="5889" max="5889" width="56.5703125" style="489" bestFit="1" customWidth="1"/>
    <col min="5890" max="5890" width="10.5703125" style="489" bestFit="1" customWidth="1"/>
    <col min="5891" max="5901" width="0" style="489" hidden="1" customWidth="1"/>
    <col min="5902" max="5902" width="14.7109375" style="489" bestFit="1" customWidth="1"/>
    <col min="5903" max="5911" width="0" style="489" hidden="1" customWidth="1"/>
    <col min="5912" max="5912" width="10.28515625" style="489" customWidth="1"/>
    <col min="5913" max="6144" width="9.140625" style="489"/>
    <col min="6145" max="6145" width="56.5703125" style="489" bestFit="1" customWidth="1"/>
    <col min="6146" max="6146" width="10.5703125" style="489" bestFit="1" customWidth="1"/>
    <col min="6147" max="6157" width="0" style="489" hidden="1" customWidth="1"/>
    <col min="6158" max="6158" width="14.7109375" style="489" bestFit="1" customWidth="1"/>
    <col min="6159" max="6167" width="0" style="489" hidden="1" customWidth="1"/>
    <col min="6168" max="6168" width="10.28515625" style="489" customWidth="1"/>
    <col min="6169" max="6400" width="9.140625" style="489"/>
    <col min="6401" max="6401" width="56.5703125" style="489" bestFit="1" customWidth="1"/>
    <col min="6402" max="6402" width="10.5703125" style="489" bestFit="1" customWidth="1"/>
    <col min="6403" max="6413" width="0" style="489" hidden="1" customWidth="1"/>
    <col min="6414" max="6414" width="14.7109375" style="489" bestFit="1" customWidth="1"/>
    <col min="6415" max="6423" width="0" style="489" hidden="1" customWidth="1"/>
    <col min="6424" max="6424" width="10.28515625" style="489" customWidth="1"/>
    <col min="6425" max="6656" width="9.140625" style="489"/>
    <col min="6657" max="6657" width="56.5703125" style="489" bestFit="1" customWidth="1"/>
    <col min="6658" max="6658" width="10.5703125" style="489" bestFit="1" customWidth="1"/>
    <col min="6659" max="6669" width="0" style="489" hidden="1" customWidth="1"/>
    <col min="6670" max="6670" width="14.7109375" style="489" bestFit="1" customWidth="1"/>
    <col min="6671" max="6679" width="0" style="489" hidden="1" customWidth="1"/>
    <col min="6680" max="6680" width="10.28515625" style="489" customWidth="1"/>
    <col min="6681" max="6912" width="9.140625" style="489"/>
    <col min="6913" max="6913" width="56.5703125" style="489" bestFit="1" customWidth="1"/>
    <col min="6914" max="6914" width="10.5703125" style="489" bestFit="1" customWidth="1"/>
    <col min="6915" max="6925" width="0" style="489" hidden="1" customWidth="1"/>
    <col min="6926" max="6926" width="14.7109375" style="489" bestFit="1" customWidth="1"/>
    <col min="6927" max="6935" width="0" style="489" hidden="1" customWidth="1"/>
    <col min="6936" max="6936" width="10.28515625" style="489" customWidth="1"/>
    <col min="6937" max="7168" width="9.140625" style="489"/>
    <col min="7169" max="7169" width="56.5703125" style="489" bestFit="1" customWidth="1"/>
    <col min="7170" max="7170" width="10.5703125" style="489" bestFit="1" customWidth="1"/>
    <col min="7171" max="7181" width="0" style="489" hidden="1" customWidth="1"/>
    <col min="7182" max="7182" width="14.7109375" style="489" bestFit="1" customWidth="1"/>
    <col min="7183" max="7191" width="0" style="489" hidden="1" customWidth="1"/>
    <col min="7192" max="7192" width="10.28515625" style="489" customWidth="1"/>
    <col min="7193" max="7424" width="9.140625" style="489"/>
    <col min="7425" max="7425" width="56.5703125" style="489" bestFit="1" customWidth="1"/>
    <col min="7426" max="7426" width="10.5703125" style="489" bestFit="1" customWidth="1"/>
    <col min="7427" max="7437" width="0" style="489" hidden="1" customWidth="1"/>
    <col min="7438" max="7438" width="14.7109375" style="489" bestFit="1" customWidth="1"/>
    <col min="7439" max="7447" width="0" style="489" hidden="1" customWidth="1"/>
    <col min="7448" max="7448" width="10.28515625" style="489" customWidth="1"/>
    <col min="7449" max="7680" width="9.140625" style="489"/>
    <col min="7681" max="7681" width="56.5703125" style="489" bestFit="1" customWidth="1"/>
    <col min="7682" max="7682" width="10.5703125" style="489" bestFit="1" customWidth="1"/>
    <col min="7683" max="7693" width="0" style="489" hidden="1" customWidth="1"/>
    <col min="7694" max="7694" width="14.7109375" style="489" bestFit="1" customWidth="1"/>
    <col min="7695" max="7703" width="0" style="489" hidden="1" customWidth="1"/>
    <col min="7704" max="7704" width="10.28515625" style="489" customWidth="1"/>
    <col min="7705" max="7936" width="9.140625" style="489"/>
    <col min="7937" max="7937" width="56.5703125" style="489" bestFit="1" customWidth="1"/>
    <col min="7938" max="7938" width="10.5703125" style="489" bestFit="1" customWidth="1"/>
    <col min="7939" max="7949" width="0" style="489" hidden="1" customWidth="1"/>
    <col min="7950" max="7950" width="14.7109375" style="489" bestFit="1" customWidth="1"/>
    <col min="7951" max="7959" width="0" style="489" hidden="1" customWidth="1"/>
    <col min="7960" max="7960" width="10.28515625" style="489" customWidth="1"/>
    <col min="7961" max="8192" width="9.140625" style="489"/>
    <col min="8193" max="8193" width="56.5703125" style="489" bestFit="1" customWidth="1"/>
    <col min="8194" max="8194" width="10.5703125" style="489" bestFit="1" customWidth="1"/>
    <col min="8195" max="8205" width="0" style="489" hidden="1" customWidth="1"/>
    <col min="8206" max="8206" width="14.7109375" style="489" bestFit="1" customWidth="1"/>
    <col min="8207" max="8215" width="0" style="489" hidden="1" customWidth="1"/>
    <col min="8216" max="8216" width="10.28515625" style="489" customWidth="1"/>
    <col min="8217" max="8448" width="9.140625" style="489"/>
    <col min="8449" max="8449" width="56.5703125" style="489" bestFit="1" customWidth="1"/>
    <col min="8450" max="8450" width="10.5703125" style="489" bestFit="1" customWidth="1"/>
    <col min="8451" max="8461" width="0" style="489" hidden="1" customWidth="1"/>
    <col min="8462" max="8462" width="14.7109375" style="489" bestFit="1" customWidth="1"/>
    <col min="8463" max="8471" width="0" style="489" hidden="1" customWidth="1"/>
    <col min="8472" max="8472" width="10.28515625" style="489" customWidth="1"/>
    <col min="8473" max="8704" width="9.140625" style="489"/>
    <col min="8705" max="8705" width="56.5703125" style="489" bestFit="1" customWidth="1"/>
    <col min="8706" max="8706" width="10.5703125" style="489" bestFit="1" customWidth="1"/>
    <col min="8707" max="8717" width="0" style="489" hidden="1" customWidth="1"/>
    <col min="8718" max="8718" width="14.7109375" style="489" bestFit="1" customWidth="1"/>
    <col min="8719" max="8727" width="0" style="489" hidden="1" customWidth="1"/>
    <col min="8728" max="8728" width="10.28515625" style="489" customWidth="1"/>
    <col min="8729" max="8960" width="9.140625" style="489"/>
    <col min="8961" max="8961" width="56.5703125" style="489" bestFit="1" customWidth="1"/>
    <col min="8962" max="8962" width="10.5703125" style="489" bestFit="1" customWidth="1"/>
    <col min="8963" max="8973" width="0" style="489" hidden="1" customWidth="1"/>
    <col min="8974" max="8974" width="14.7109375" style="489" bestFit="1" customWidth="1"/>
    <col min="8975" max="8983" width="0" style="489" hidden="1" customWidth="1"/>
    <col min="8984" max="8984" width="10.28515625" style="489" customWidth="1"/>
    <col min="8985" max="9216" width="9.140625" style="489"/>
    <col min="9217" max="9217" width="56.5703125" style="489" bestFit="1" customWidth="1"/>
    <col min="9218" max="9218" width="10.5703125" style="489" bestFit="1" customWidth="1"/>
    <col min="9219" max="9229" width="0" style="489" hidden="1" customWidth="1"/>
    <col min="9230" max="9230" width="14.7109375" style="489" bestFit="1" customWidth="1"/>
    <col min="9231" max="9239" width="0" style="489" hidden="1" customWidth="1"/>
    <col min="9240" max="9240" width="10.28515625" style="489" customWidth="1"/>
    <col min="9241" max="9472" width="9.140625" style="489"/>
    <col min="9473" max="9473" width="56.5703125" style="489" bestFit="1" customWidth="1"/>
    <col min="9474" max="9474" width="10.5703125" style="489" bestFit="1" customWidth="1"/>
    <col min="9475" max="9485" width="0" style="489" hidden="1" customWidth="1"/>
    <col min="9486" max="9486" width="14.7109375" style="489" bestFit="1" customWidth="1"/>
    <col min="9487" max="9495" width="0" style="489" hidden="1" customWidth="1"/>
    <col min="9496" max="9496" width="10.28515625" style="489" customWidth="1"/>
    <col min="9497" max="9728" width="9.140625" style="489"/>
    <col min="9729" max="9729" width="56.5703125" style="489" bestFit="1" customWidth="1"/>
    <col min="9730" max="9730" width="10.5703125" style="489" bestFit="1" customWidth="1"/>
    <col min="9731" max="9741" width="0" style="489" hidden="1" customWidth="1"/>
    <col min="9742" max="9742" width="14.7109375" style="489" bestFit="1" customWidth="1"/>
    <col min="9743" max="9751" width="0" style="489" hidden="1" customWidth="1"/>
    <col min="9752" max="9752" width="10.28515625" style="489" customWidth="1"/>
    <col min="9753" max="9984" width="9.140625" style="489"/>
    <col min="9985" max="9985" width="56.5703125" style="489" bestFit="1" customWidth="1"/>
    <col min="9986" max="9986" width="10.5703125" style="489" bestFit="1" customWidth="1"/>
    <col min="9987" max="9997" width="0" style="489" hidden="1" customWidth="1"/>
    <col min="9998" max="9998" width="14.7109375" style="489" bestFit="1" customWidth="1"/>
    <col min="9999" max="10007" width="0" style="489" hidden="1" customWidth="1"/>
    <col min="10008" max="10008" width="10.28515625" style="489" customWidth="1"/>
    <col min="10009" max="10240" width="9.140625" style="489"/>
    <col min="10241" max="10241" width="56.5703125" style="489" bestFit="1" customWidth="1"/>
    <col min="10242" max="10242" width="10.5703125" style="489" bestFit="1" customWidth="1"/>
    <col min="10243" max="10253" width="0" style="489" hidden="1" customWidth="1"/>
    <col min="10254" max="10254" width="14.7109375" style="489" bestFit="1" customWidth="1"/>
    <col min="10255" max="10263" width="0" style="489" hidden="1" customWidth="1"/>
    <col min="10264" max="10264" width="10.28515625" style="489" customWidth="1"/>
    <col min="10265" max="10496" width="9.140625" style="489"/>
    <col min="10497" max="10497" width="56.5703125" style="489" bestFit="1" customWidth="1"/>
    <col min="10498" max="10498" width="10.5703125" style="489" bestFit="1" customWidth="1"/>
    <col min="10499" max="10509" width="0" style="489" hidden="1" customWidth="1"/>
    <col min="10510" max="10510" width="14.7109375" style="489" bestFit="1" customWidth="1"/>
    <col min="10511" max="10519" width="0" style="489" hidden="1" customWidth="1"/>
    <col min="10520" max="10520" width="10.28515625" style="489" customWidth="1"/>
    <col min="10521" max="10752" width="9.140625" style="489"/>
    <col min="10753" max="10753" width="56.5703125" style="489" bestFit="1" customWidth="1"/>
    <col min="10754" max="10754" width="10.5703125" style="489" bestFit="1" customWidth="1"/>
    <col min="10755" max="10765" width="0" style="489" hidden="1" customWidth="1"/>
    <col min="10766" max="10766" width="14.7109375" style="489" bestFit="1" customWidth="1"/>
    <col min="10767" max="10775" width="0" style="489" hidden="1" customWidth="1"/>
    <col min="10776" max="10776" width="10.28515625" style="489" customWidth="1"/>
    <col min="10777" max="11008" width="9.140625" style="489"/>
    <col min="11009" max="11009" width="56.5703125" style="489" bestFit="1" customWidth="1"/>
    <col min="11010" max="11010" width="10.5703125" style="489" bestFit="1" customWidth="1"/>
    <col min="11011" max="11021" width="0" style="489" hidden="1" customWidth="1"/>
    <col min="11022" max="11022" width="14.7109375" style="489" bestFit="1" customWidth="1"/>
    <col min="11023" max="11031" width="0" style="489" hidden="1" customWidth="1"/>
    <col min="11032" max="11032" width="10.28515625" style="489" customWidth="1"/>
    <col min="11033" max="11264" width="9.140625" style="489"/>
    <col min="11265" max="11265" width="56.5703125" style="489" bestFit="1" customWidth="1"/>
    <col min="11266" max="11266" width="10.5703125" style="489" bestFit="1" customWidth="1"/>
    <col min="11267" max="11277" width="0" style="489" hidden="1" customWidth="1"/>
    <col min="11278" max="11278" width="14.7109375" style="489" bestFit="1" customWidth="1"/>
    <col min="11279" max="11287" width="0" style="489" hidden="1" customWidth="1"/>
    <col min="11288" max="11288" width="10.28515625" style="489" customWidth="1"/>
    <col min="11289" max="11520" width="9.140625" style="489"/>
    <col min="11521" max="11521" width="56.5703125" style="489" bestFit="1" customWidth="1"/>
    <col min="11522" max="11522" width="10.5703125" style="489" bestFit="1" customWidth="1"/>
    <col min="11523" max="11533" width="0" style="489" hidden="1" customWidth="1"/>
    <col min="11534" max="11534" width="14.7109375" style="489" bestFit="1" customWidth="1"/>
    <col min="11535" max="11543" width="0" style="489" hidden="1" customWidth="1"/>
    <col min="11544" max="11544" width="10.28515625" style="489" customWidth="1"/>
    <col min="11545" max="11776" width="9.140625" style="489"/>
    <col min="11777" max="11777" width="56.5703125" style="489" bestFit="1" customWidth="1"/>
    <col min="11778" max="11778" width="10.5703125" style="489" bestFit="1" customWidth="1"/>
    <col min="11779" max="11789" width="0" style="489" hidden="1" customWidth="1"/>
    <col min="11790" max="11790" width="14.7109375" style="489" bestFit="1" customWidth="1"/>
    <col min="11791" max="11799" width="0" style="489" hidden="1" customWidth="1"/>
    <col min="11800" max="11800" width="10.28515625" style="489" customWidth="1"/>
    <col min="11801" max="12032" width="9.140625" style="489"/>
    <col min="12033" max="12033" width="56.5703125" style="489" bestFit="1" customWidth="1"/>
    <col min="12034" max="12034" width="10.5703125" style="489" bestFit="1" customWidth="1"/>
    <col min="12035" max="12045" width="0" style="489" hidden="1" customWidth="1"/>
    <col min="12046" max="12046" width="14.7109375" style="489" bestFit="1" customWidth="1"/>
    <col min="12047" max="12055" width="0" style="489" hidden="1" customWidth="1"/>
    <col min="12056" max="12056" width="10.28515625" style="489" customWidth="1"/>
    <col min="12057" max="12288" width="9.140625" style="489"/>
    <col min="12289" max="12289" width="56.5703125" style="489" bestFit="1" customWidth="1"/>
    <col min="12290" max="12290" width="10.5703125" style="489" bestFit="1" customWidth="1"/>
    <col min="12291" max="12301" width="0" style="489" hidden="1" customWidth="1"/>
    <col min="12302" max="12302" width="14.7109375" style="489" bestFit="1" customWidth="1"/>
    <col min="12303" max="12311" width="0" style="489" hidden="1" customWidth="1"/>
    <col min="12312" max="12312" width="10.28515625" style="489" customWidth="1"/>
    <col min="12313" max="12544" width="9.140625" style="489"/>
    <col min="12545" max="12545" width="56.5703125" style="489" bestFit="1" customWidth="1"/>
    <col min="12546" max="12546" width="10.5703125" style="489" bestFit="1" customWidth="1"/>
    <col min="12547" max="12557" width="0" style="489" hidden="1" customWidth="1"/>
    <col min="12558" max="12558" width="14.7109375" style="489" bestFit="1" customWidth="1"/>
    <col min="12559" max="12567" width="0" style="489" hidden="1" customWidth="1"/>
    <col min="12568" max="12568" width="10.28515625" style="489" customWidth="1"/>
    <col min="12569" max="12800" width="9.140625" style="489"/>
    <col min="12801" max="12801" width="56.5703125" style="489" bestFit="1" customWidth="1"/>
    <col min="12802" max="12802" width="10.5703125" style="489" bestFit="1" customWidth="1"/>
    <col min="12803" max="12813" width="0" style="489" hidden="1" customWidth="1"/>
    <col min="12814" max="12814" width="14.7109375" style="489" bestFit="1" customWidth="1"/>
    <col min="12815" max="12823" width="0" style="489" hidden="1" customWidth="1"/>
    <col min="12824" max="12824" width="10.28515625" style="489" customWidth="1"/>
    <col min="12825" max="13056" width="9.140625" style="489"/>
    <col min="13057" max="13057" width="56.5703125" style="489" bestFit="1" customWidth="1"/>
    <col min="13058" max="13058" width="10.5703125" style="489" bestFit="1" customWidth="1"/>
    <col min="13059" max="13069" width="0" style="489" hidden="1" customWidth="1"/>
    <col min="13070" max="13070" width="14.7109375" style="489" bestFit="1" customWidth="1"/>
    <col min="13071" max="13079" width="0" style="489" hidden="1" customWidth="1"/>
    <col min="13080" max="13080" width="10.28515625" style="489" customWidth="1"/>
    <col min="13081" max="13312" width="9.140625" style="489"/>
    <col min="13313" max="13313" width="56.5703125" style="489" bestFit="1" customWidth="1"/>
    <col min="13314" max="13314" width="10.5703125" style="489" bestFit="1" customWidth="1"/>
    <col min="13315" max="13325" width="0" style="489" hidden="1" customWidth="1"/>
    <col min="13326" max="13326" width="14.7109375" style="489" bestFit="1" customWidth="1"/>
    <col min="13327" max="13335" width="0" style="489" hidden="1" customWidth="1"/>
    <col min="13336" max="13336" width="10.28515625" style="489" customWidth="1"/>
    <col min="13337" max="13568" width="9.140625" style="489"/>
    <col min="13569" max="13569" width="56.5703125" style="489" bestFit="1" customWidth="1"/>
    <col min="13570" max="13570" width="10.5703125" style="489" bestFit="1" customWidth="1"/>
    <col min="13571" max="13581" width="0" style="489" hidden="1" customWidth="1"/>
    <col min="13582" max="13582" width="14.7109375" style="489" bestFit="1" customWidth="1"/>
    <col min="13583" max="13591" width="0" style="489" hidden="1" customWidth="1"/>
    <col min="13592" max="13592" width="10.28515625" style="489" customWidth="1"/>
    <col min="13593" max="13824" width="9.140625" style="489"/>
    <col min="13825" max="13825" width="56.5703125" style="489" bestFit="1" customWidth="1"/>
    <col min="13826" max="13826" width="10.5703125" style="489" bestFit="1" customWidth="1"/>
    <col min="13827" max="13837" width="0" style="489" hidden="1" customWidth="1"/>
    <col min="13838" max="13838" width="14.7109375" style="489" bestFit="1" customWidth="1"/>
    <col min="13839" max="13847" width="0" style="489" hidden="1" customWidth="1"/>
    <col min="13848" max="13848" width="10.28515625" style="489" customWidth="1"/>
    <col min="13849" max="14080" width="9.140625" style="489"/>
    <col min="14081" max="14081" width="56.5703125" style="489" bestFit="1" customWidth="1"/>
    <col min="14082" max="14082" width="10.5703125" style="489" bestFit="1" customWidth="1"/>
    <col min="14083" max="14093" width="0" style="489" hidden="1" customWidth="1"/>
    <col min="14094" max="14094" width="14.7109375" style="489" bestFit="1" customWidth="1"/>
    <col min="14095" max="14103" width="0" style="489" hidden="1" customWidth="1"/>
    <col min="14104" max="14104" width="10.28515625" style="489" customWidth="1"/>
    <col min="14105" max="14336" width="9.140625" style="489"/>
    <col min="14337" max="14337" width="56.5703125" style="489" bestFit="1" customWidth="1"/>
    <col min="14338" max="14338" width="10.5703125" style="489" bestFit="1" customWidth="1"/>
    <col min="14339" max="14349" width="0" style="489" hidden="1" customWidth="1"/>
    <col min="14350" max="14350" width="14.7109375" style="489" bestFit="1" customWidth="1"/>
    <col min="14351" max="14359" width="0" style="489" hidden="1" customWidth="1"/>
    <col min="14360" max="14360" width="10.28515625" style="489" customWidth="1"/>
    <col min="14361" max="14592" width="9.140625" style="489"/>
    <col min="14593" max="14593" width="56.5703125" style="489" bestFit="1" customWidth="1"/>
    <col min="14594" max="14594" width="10.5703125" style="489" bestFit="1" customWidth="1"/>
    <col min="14595" max="14605" width="0" style="489" hidden="1" customWidth="1"/>
    <col min="14606" max="14606" width="14.7109375" style="489" bestFit="1" customWidth="1"/>
    <col min="14607" max="14615" width="0" style="489" hidden="1" customWidth="1"/>
    <col min="14616" max="14616" width="10.28515625" style="489" customWidth="1"/>
    <col min="14617" max="14848" width="9.140625" style="489"/>
    <col min="14849" max="14849" width="56.5703125" style="489" bestFit="1" customWidth="1"/>
    <col min="14850" max="14850" width="10.5703125" style="489" bestFit="1" customWidth="1"/>
    <col min="14851" max="14861" width="0" style="489" hidden="1" customWidth="1"/>
    <col min="14862" max="14862" width="14.7109375" style="489" bestFit="1" customWidth="1"/>
    <col min="14863" max="14871" width="0" style="489" hidden="1" customWidth="1"/>
    <col min="14872" max="14872" width="10.28515625" style="489" customWidth="1"/>
    <col min="14873" max="15104" width="9.140625" style="489"/>
    <col min="15105" max="15105" width="56.5703125" style="489" bestFit="1" customWidth="1"/>
    <col min="15106" max="15106" width="10.5703125" style="489" bestFit="1" customWidth="1"/>
    <col min="15107" max="15117" width="0" style="489" hidden="1" customWidth="1"/>
    <col min="15118" max="15118" width="14.7109375" style="489" bestFit="1" customWidth="1"/>
    <col min="15119" max="15127" width="0" style="489" hidden="1" customWidth="1"/>
    <col min="15128" max="15128" width="10.28515625" style="489" customWidth="1"/>
    <col min="15129" max="15360" width="9.140625" style="489"/>
    <col min="15361" max="15361" width="56.5703125" style="489" bestFit="1" customWidth="1"/>
    <col min="15362" max="15362" width="10.5703125" style="489" bestFit="1" customWidth="1"/>
    <col min="15363" max="15373" width="0" style="489" hidden="1" customWidth="1"/>
    <col min="15374" max="15374" width="14.7109375" style="489" bestFit="1" customWidth="1"/>
    <col min="15375" max="15383" width="0" style="489" hidden="1" customWidth="1"/>
    <col min="15384" max="15384" width="10.28515625" style="489" customWidth="1"/>
    <col min="15385" max="15616" width="9.140625" style="489"/>
    <col min="15617" max="15617" width="56.5703125" style="489" bestFit="1" customWidth="1"/>
    <col min="15618" max="15618" width="10.5703125" style="489" bestFit="1" customWidth="1"/>
    <col min="15619" max="15629" width="0" style="489" hidden="1" customWidth="1"/>
    <col min="15630" max="15630" width="14.7109375" style="489" bestFit="1" customWidth="1"/>
    <col min="15631" max="15639" width="0" style="489" hidden="1" customWidth="1"/>
    <col min="15640" max="15640" width="10.28515625" style="489" customWidth="1"/>
    <col min="15641" max="15872" width="9.140625" style="489"/>
    <col min="15873" max="15873" width="56.5703125" style="489" bestFit="1" customWidth="1"/>
    <col min="15874" max="15874" width="10.5703125" style="489" bestFit="1" customWidth="1"/>
    <col min="15875" max="15885" width="0" style="489" hidden="1" customWidth="1"/>
    <col min="15886" max="15886" width="14.7109375" style="489" bestFit="1" customWidth="1"/>
    <col min="15887" max="15895" width="0" style="489" hidden="1" customWidth="1"/>
    <col min="15896" max="15896" width="10.28515625" style="489" customWidth="1"/>
    <col min="15897" max="16128" width="9.140625" style="489"/>
    <col min="16129" max="16129" width="56.5703125" style="489" bestFit="1" customWidth="1"/>
    <col min="16130" max="16130" width="10.5703125" style="489" bestFit="1" customWidth="1"/>
    <col min="16131" max="16141" width="0" style="489" hidden="1" customWidth="1"/>
    <col min="16142" max="16142" width="14.7109375" style="489" bestFit="1" customWidth="1"/>
    <col min="16143" max="16151" width="0" style="489" hidden="1" customWidth="1"/>
    <col min="16152" max="16152" width="10.28515625" style="489" customWidth="1"/>
    <col min="16153" max="16384" width="9.140625" style="489"/>
  </cols>
  <sheetData>
    <row r="1" spans="1:19" s="478" customFormat="1" ht="15.75">
      <c r="A1" s="573" t="s">
        <v>304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P1" s="479"/>
      <c r="Q1" s="480"/>
      <c r="R1" s="481"/>
      <c r="S1" s="482"/>
    </row>
    <row r="2" spans="1:19" s="478" customFormat="1" ht="15.75">
      <c r="A2" s="575" t="s">
        <v>321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P2" s="479"/>
      <c r="Q2" s="483"/>
      <c r="R2" s="484"/>
      <c r="S2" s="482"/>
    </row>
    <row r="3" spans="1:19" s="478" customFormat="1" ht="15.75">
      <c r="A3" s="571" t="str">
        <f>R4</f>
        <v>March 2017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P3" s="479"/>
      <c r="Q3" s="483"/>
      <c r="R3" s="484"/>
      <c r="S3" s="482"/>
    </row>
    <row r="4" spans="1:19" s="478" customFormat="1">
      <c r="A4" s="485"/>
      <c r="B4" s="472"/>
      <c r="C4" s="472"/>
      <c r="D4" s="472"/>
      <c r="E4" s="472"/>
      <c r="F4" s="472"/>
      <c r="G4" s="472"/>
      <c r="H4" s="486"/>
      <c r="I4" s="486"/>
      <c r="J4" s="486"/>
      <c r="K4" s="453"/>
      <c r="L4" s="453"/>
      <c r="M4" s="453"/>
      <c r="N4" s="453"/>
      <c r="P4" s="479"/>
      <c r="Q4" s="483" t="s">
        <v>408</v>
      </c>
      <c r="R4" s="484" t="str">
        <f>TEXT(S4,"mmmm yyyy")</f>
        <v>March 2017</v>
      </c>
      <c r="S4" s="460">
        <v>42825</v>
      </c>
    </row>
    <row r="5" spans="1:19">
      <c r="A5" s="487"/>
      <c r="B5" s="472"/>
      <c r="C5" s="472"/>
      <c r="D5" s="472"/>
      <c r="E5" s="472"/>
      <c r="F5" s="472"/>
      <c r="G5" s="472"/>
      <c r="H5" s="488"/>
      <c r="I5" s="488"/>
      <c r="J5" s="488"/>
      <c r="K5" s="472"/>
      <c r="L5" s="472"/>
      <c r="M5" s="472"/>
      <c r="N5" s="472"/>
      <c r="Q5" s="483" t="s">
        <v>415</v>
      </c>
      <c r="R5" s="484" t="str">
        <f>S5</f>
        <v>.</v>
      </c>
      <c r="S5" s="456" t="s">
        <v>410</v>
      </c>
    </row>
    <row r="6" spans="1:19" ht="15.75">
      <c r="A6" s="126"/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 t="str">
        <f>"FY "&amp;$R$6&amp;" YTD"</f>
        <v>FY 2017 YTD</v>
      </c>
      <c r="Q6" s="483" t="s">
        <v>411</v>
      </c>
      <c r="R6" s="484" t="str">
        <f>S6</f>
        <v>2017</v>
      </c>
      <c r="S6" s="456" t="s">
        <v>412</v>
      </c>
    </row>
    <row r="7" spans="1:19" s="491" customFormat="1" ht="16.5" thickBot="1">
      <c r="A7" s="127"/>
      <c r="B7" s="463" t="str">
        <f>"9/1/2"&amp;$R$10</f>
        <v>9/1/2016</v>
      </c>
      <c r="C7" s="536" t="str">
        <f>"Oct 2"&amp;$R$10</f>
        <v>Oct 2016</v>
      </c>
      <c r="D7" s="536" t="str">
        <f>"Nov 2"&amp;$R$10</f>
        <v>Nov 2016</v>
      </c>
      <c r="E7" s="536" t="str">
        <f>"Dec 2"&amp;$R$10</f>
        <v>Dec 2016</v>
      </c>
      <c r="F7" s="536" t="str">
        <f>"Jan "&amp;$R$6</f>
        <v>Jan 2017</v>
      </c>
      <c r="G7" s="536" t="str">
        <f>"Feb "&amp;$R$6</f>
        <v>Feb 2017</v>
      </c>
      <c r="H7" s="536" t="str">
        <f>"Mar "&amp;$R$6</f>
        <v>Mar 2017</v>
      </c>
      <c r="I7" s="536" t="str">
        <f>"Apr "&amp;$R$6</f>
        <v>Apr 2017</v>
      </c>
      <c r="J7" s="536" t="str">
        <f>"May "&amp;$R$6</f>
        <v>May 2017</v>
      </c>
      <c r="K7" s="536" t="str">
        <f>"Jun "&amp;$R$6</f>
        <v>Jun 2017</v>
      </c>
      <c r="L7" s="536" t="str">
        <f>"Jul "&amp;$R$6</f>
        <v>Jul 2017</v>
      </c>
      <c r="M7" s="536" t="str">
        <f>"Aug "&amp;$R$6</f>
        <v>Aug 2017</v>
      </c>
      <c r="N7" s="536" t="str">
        <f>"as of "&amp;R8</f>
        <v>as of 03/31/17</v>
      </c>
      <c r="P7" s="490"/>
      <c r="Q7" s="492" t="s">
        <v>413</v>
      </c>
      <c r="R7" s="484" t="str">
        <f>TEXT(S7,"mmmm-dd-yyyy")</f>
        <v>March-31-2017</v>
      </c>
      <c r="S7" s="460">
        <f>S4</f>
        <v>42825</v>
      </c>
    </row>
    <row r="8" spans="1:19" ht="16.5" thickTop="1">
      <c r="A8" s="126"/>
      <c r="B8" s="109"/>
      <c r="C8" s="109"/>
      <c r="D8" s="109"/>
      <c r="E8" s="109"/>
      <c r="F8" s="109"/>
      <c r="G8" s="109"/>
      <c r="H8" s="128"/>
      <c r="I8" s="129"/>
      <c r="J8" s="129"/>
      <c r="K8" s="109"/>
      <c r="L8" s="109"/>
      <c r="M8" s="109"/>
      <c r="N8" s="109"/>
      <c r="Q8" s="492" t="s">
        <v>413</v>
      </c>
      <c r="R8" s="484" t="str">
        <f>TEXT(S8,"mm/dd/yy")</f>
        <v>03/31/17</v>
      </c>
      <c r="S8" s="460">
        <f>S4</f>
        <v>42825</v>
      </c>
    </row>
    <row r="9" spans="1:19" ht="16.5" thickBot="1">
      <c r="A9" s="543" t="s">
        <v>322</v>
      </c>
      <c r="B9" s="114">
        <v>0</v>
      </c>
      <c r="C9" s="115">
        <f>B9</f>
        <v>0</v>
      </c>
      <c r="D9" s="115">
        <f t="shared" ref="D9:M9" si="0">C9</f>
        <v>0</v>
      </c>
      <c r="E9" s="115">
        <f t="shared" si="0"/>
        <v>0</v>
      </c>
      <c r="F9" s="115">
        <f t="shared" si="0"/>
        <v>0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115">
        <f>B9</f>
        <v>0</v>
      </c>
      <c r="Q9" s="483" t="s">
        <v>411</v>
      </c>
      <c r="R9" s="484">
        <f>S9</f>
        <v>17</v>
      </c>
      <c r="S9" s="456">
        <v>17</v>
      </c>
    </row>
    <row r="10" spans="1:19" ht="15.75">
      <c r="A10" s="126"/>
      <c r="B10" s="109"/>
      <c r="C10" s="109"/>
      <c r="D10" s="109"/>
      <c r="E10" s="109"/>
      <c r="F10" s="109"/>
      <c r="G10" s="109"/>
      <c r="H10" s="128"/>
      <c r="I10" s="128"/>
      <c r="J10" s="128"/>
      <c r="K10" s="109"/>
      <c r="L10" s="109"/>
      <c r="M10" s="109"/>
      <c r="N10" s="109"/>
      <c r="Q10" s="531" t="s">
        <v>414</v>
      </c>
      <c r="R10" s="532" t="str">
        <f>"0"&amp;S10</f>
        <v>016</v>
      </c>
      <c r="S10" s="456">
        <v>16</v>
      </c>
    </row>
    <row r="11" spans="1:19" ht="15.75">
      <c r="A11" s="108" t="s">
        <v>301</v>
      </c>
      <c r="B11" s="109"/>
      <c r="C11" s="109"/>
      <c r="D11" s="109"/>
      <c r="E11" s="109"/>
      <c r="F11" s="109"/>
      <c r="G11" s="109"/>
      <c r="H11" s="128"/>
      <c r="I11" s="128"/>
      <c r="J11" s="128"/>
      <c r="K11" s="109"/>
      <c r="L11" s="109"/>
      <c r="M11" s="109"/>
      <c r="N11" s="109"/>
    </row>
    <row r="12" spans="1:19" ht="15.75">
      <c r="A12" s="126"/>
      <c r="B12" s="109"/>
      <c r="C12" s="109"/>
      <c r="D12" s="109"/>
      <c r="E12" s="109"/>
      <c r="F12" s="109"/>
      <c r="G12" s="109"/>
      <c r="H12" s="128"/>
      <c r="I12" s="128"/>
      <c r="J12" s="128"/>
      <c r="K12" s="109"/>
      <c r="L12" s="109"/>
      <c r="M12" s="109"/>
      <c r="N12" s="109"/>
    </row>
    <row r="13" spans="1:19" ht="15.75">
      <c r="A13" s="130" t="s">
        <v>323</v>
      </c>
      <c r="B13" s="124">
        <v>1825.11</v>
      </c>
      <c r="C13" s="131">
        <v>627.23</v>
      </c>
      <c r="D13" s="124">
        <v>3552.8700000000003</v>
      </c>
      <c r="E13" s="124">
        <v>828.12</v>
      </c>
      <c r="F13" s="124">
        <v>31435.689999999995</v>
      </c>
      <c r="G13" s="124">
        <v>15225.18</v>
      </c>
      <c r="H13" s="124">
        <v>1458.2099999999996</v>
      </c>
      <c r="I13" s="124"/>
      <c r="J13" s="124"/>
      <c r="K13" s="124"/>
      <c r="L13" s="124"/>
      <c r="M13" s="124"/>
      <c r="N13" s="124">
        <f>ROUND(SUM(B13:M13),0)</f>
        <v>54952</v>
      </c>
      <c r="O13" s="493"/>
    </row>
    <row r="14" spans="1:19" ht="15.75">
      <c r="A14" s="126" t="s">
        <v>324</v>
      </c>
      <c r="B14" s="124">
        <v>5701.66</v>
      </c>
      <c r="C14" s="131">
        <v>5972.99</v>
      </c>
      <c r="D14" s="124">
        <v>4638.1400000000003</v>
      </c>
      <c r="E14" s="124">
        <v>4243.87</v>
      </c>
      <c r="F14" s="124">
        <v>4761.3900000000003</v>
      </c>
      <c r="G14" s="124">
        <v>4675.51</v>
      </c>
      <c r="H14" s="124">
        <v>7094.35</v>
      </c>
      <c r="I14" s="124"/>
      <c r="J14" s="124"/>
      <c r="K14" s="124"/>
      <c r="L14" s="124"/>
      <c r="M14" s="124"/>
      <c r="N14" s="124">
        <f>ROUND(SUM(B14:M14),0)</f>
        <v>37088</v>
      </c>
    </row>
    <row r="15" spans="1:19" ht="15.75">
      <c r="A15" s="132" t="s">
        <v>325</v>
      </c>
      <c r="B15" s="124">
        <v>0</v>
      </c>
      <c r="C15" s="131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>
        <f t="shared" ref="N15:N19" si="1">ROUND(SUM(B15:M15),0)</f>
        <v>0</v>
      </c>
    </row>
    <row r="16" spans="1:19" ht="15.75">
      <c r="A16" s="126" t="s">
        <v>326</v>
      </c>
      <c r="B16" s="124">
        <v>0</v>
      </c>
      <c r="C16" s="131">
        <v>21230.15</v>
      </c>
      <c r="D16" s="124">
        <v>20626.88</v>
      </c>
      <c r="E16" s="124">
        <v>2458</v>
      </c>
      <c r="F16" s="124">
        <v>0</v>
      </c>
      <c r="G16" s="124">
        <v>19598.2</v>
      </c>
      <c r="H16" s="124">
        <v>512146</v>
      </c>
      <c r="I16" s="124"/>
      <c r="J16" s="124"/>
      <c r="K16" s="124"/>
      <c r="L16" s="124"/>
      <c r="M16" s="124"/>
      <c r="N16" s="124">
        <f>ROUND(SUM(B16:M16),0)</f>
        <v>576059</v>
      </c>
    </row>
    <row r="17" spans="1:16" ht="15.75">
      <c r="A17" s="126" t="s">
        <v>327</v>
      </c>
      <c r="B17" s="124"/>
      <c r="C17" s="131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>
        <f t="shared" si="1"/>
        <v>0</v>
      </c>
    </row>
    <row r="18" spans="1:16" ht="15.75">
      <c r="A18" s="132" t="s">
        <v>328</v>
      </c>
      <c r="B18" s="124">
        <v>1272.2399999999998</v>
      </c>
      <c r="C18" s="131">
        <v>1556.3600000000001</v>
      </c>
      <c r="D18" s="124">
        <v>555.17999999999995</v>
      </c>
      <c r="E18" s="124">
        <v>1819.2800000000002</v>
      </c>
      <c r="F18" s="124">
        <v>1145.9499999999998</v>
      </c>
      <c r="G18" s="124">
        <v>910.42000000000007</v>
      </c>
      <c r="H18" s="124">
        <v>2283.91</v>
      </c>
      <c r="I18" s="124"/>
      <c r="J18" s="124"/>
      <c r="K18" s="124"/>
      <c r="L18" s="124"/>
      <c r="M18" s="124"/>
      <c r="N18" s="124">
        <f>ROUND(SUM(B18:M18),0)</f>
        <v>9543</v>
      </c>
    </row>
    <row r="19" spans="1:16" ht="15.75">
      <c r="A19" s="132" t="s">
        <v>329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>
        <f t="shared" si="1"/>
        <v>0</v>
      </c>
    </row>
    <row r="20" spans="1:16" ht="15.75">
      <c r="A20" s="130" t="s">
        <v>330</v>
      </c>
      <c r="B20" s="124"/>
      <c r="C20" s="124"/>
      <c r="D20" s="124"/>
      <c r="E20" s="124"/>
      <c r="F20" s="124"/>
      <c r="G20" s="124">
        <v>34408.58</v>
      </c>
      <c r="H20" s="124"/>
      <c r="I20" s="124"/>
      <c r="J20" s="124"/>
      <c r="K20" s="124"/>
      <c r="L20" s="124"/>
      <c r="M20" s="124"/>
      <c r="N20" s="124">
        <f>ROUND(SUM(B20:M20),0)</f>
        <v>34409</v>
      </c>
    </row>
    <row r="21" spans="1:16" ht="15.75">
      <c r="A21" s="126" t="s">
        <v>331</v>
      </c>
      <c r="B21" s="109">
        <v>19973.77</v>
      </c>
      <c r="C21" s="109">
        <v>5922.73</v>
      </c>
      <c r="D21" s="109">
        <v>1140</v>
      </c>
      <c r="E21" s="109">
        <v>0</v>
      </c>
      <c r="F21" s="109">
        <v>0</v>
      </c>
      <c r="G21" s="109">
        <v>105</v>
      </c>
      <c r="H21" s="109"/>
      <c r="I21" s="109"/>
      <c r="J21" s="109"/>
      <c r="K21" s="109"/>
      <c r="L21" s="109"/>
      <c r="M21" s="109"/>
      <c r="N21" s="124">
        <f>ROUND(SUM(B21:M21),0)</f>
        <v>27142</v>
      </c>
      <c r="P21" s="489"/>
    </row>
    <row r="22" spans="1:16" ht="15.75">
      <c r="A22" s="126"/>
      <c r="B22" s="109"/>
      <c r="C22" s="109"/>
      <c r="D22" s="109"/>
      <c r="E22" s="109"/>
      <c r="F22" s="109"/>
      <c r="G22" s="109"/>
      <c r="H22" s="128"/>
      <c r="I22" s="128"/>
      <c r="J22" s="128"/>
      <c r="K22" s="109"/>
      <c r="L22" s="109"/>
      <c r="M22" s="109"/>
      <c r="N22" s="109"/>
    </row>
    <row r="23" spans="1:16" ht="15.75">
      <c r="A23" s="110" t="s">
        <v>296</v>
      </c>
      <c r="B23" s="118">
        <f>ROUND((SUM(B13:B22)),0)</f>
        <v>28773</v>
      </c>
      <c r="C23" s="118">
        <f>ROUND((SUM(C13:C22)),0)</f>
        <v>35309</v>
      </c>
      <c r="D23" s="118">
        <f>ROUND((SUM(D13:D22)),0)</f>
        <v>30513</v>
      </c>
      <c r="E23" s="118">
        <f t="shared" ref="E23:M23" si="2">ROUND((SUM(E13:E22)),0)</f>
        <v>9349</v>
      </c>
      <c r="F23" s="118">
        <f t="shared" si="2"/>
        <v>37343</v>
      </c>
      <c r="G23" s="118">
        <f t="shared" si="2"/>
        <v>74923</v>
      </c>
      <c r="H23" s="118">
        <f t="shared" si="2"/>
        <v>522982</v>
      </c>
      <c r="I23" s="118">
        <f t="shared" si="2"/>
        <v>0</v>
      </c>
      <c r="J23" s="118">
        <f t="shared" si="2"/>
        <v>0</v>
      </c>
      <c r="K23" s="118">
        <f t="shared" si="2"/>
        <v>0</v>
      </c>
      <c r="L23" s="118">
        <f t="shared" si="2"/>
        <v>0</v>
      </c>
      <c r="M23" s="118">
        <f t="shared" si="2"/>
        <v>0</v>
      </c>
      <c r="N23" s="118">
        <f>SUM(B23:M23)</f>
        <v>739192</v>
      </c>
    </row>
    <row r="24" spans="1:16" ht="15.75">
      <c r="A24" s="126"/>
      <c r="B24" s="109"/>
      <c r="C24" s="109"/>
      <c r="D24" s="109"/>
      <c r="E24" s="109"/>
      <c r="F24" s="109"/>
      <c r="G24" s="109"/>
      <c r="H24" s="134"/>
      <c r="I24" s="134"/>
      <c r="J24" s="134"/>
      <c r="K24" s="109"/>
      <c r="L24" s="109"/>
      <c r="M24" s="109"/>
      <c r="N24" s="109"/>
    </row>
    <row r="25" spans="1:16" ht="15.75">
      <c r="A25" s="108" t="s">
        <v>295</v>
      </c>
      <c r="B25" s="109"/>
      <c r="C25" s="109"/>
      <c r="D25" s="109"/>
      <c r="E25" s="109"/>
      <c r="F25" s="109"/>
      <c r="G25" s="109"/>
      <c r="H25" s="134"/>
      <c r="I25" s="134"/>
      <c r="J25" s="134"/>
      <c r="K25" s="109"/>
      <c r="L25" s="109"/>
      <c r="M25" s="109"/>
      <c r="N25" s="109"/>
    </row>
    <row r="26" spans="1:16" ht="15.75">
      <c r="A26" s="135"/>
      <c r="B26" s="109"/>
      <c r="C26" s="109"/>
      <c r="D26" s="109"/>
      <c r="E26" s="109"/>
      <c r="F26" s="109"/>
      <c r="G26" s="109"/>
      <c r="H26" s="134"/>
      <c r="I26" s="134"/>
      <c r="J26" s="134"/>
      <c r="K26" s="109"/>
      <c r="L26" s="109"/>
      <c r="M26" s="109"/>
      <c r="N26" s="109"/>
    </row>
    <row r="27" spans="1:16" ht="15.75">
      <c r="A27" s="123" t="s">
        <v>316</v>
      </c>
      <c r="B27" s="109">
        <f>ROUND(-B23,0)</f>
        <v>-28773</v>
      </c>
      <c r="C27" s="109">
        <f t="shared" ref="C27:H27" si="3">ROUND(-C23,0)</f>
        <v>-35309</v>
      </c>
      <c r="D27" s="109">
        <f t="shared" si="3"/>
        <v>-30513</v>
      </c>
      <c r="E27" s="109">
        <f t="shared" si="3"/>
        <v>-9349</v>
      </c>
      <c r="F27" s="109">
        <f t="shared" si="3"/>
        <v>-37343</v>
      </c>
      <c r="G27" s="109">
        <f t="shared" si="3"/>
        <v>-74923</v>
      </c>
      <c r="H27" s="109">
        <f t="shared" si="3"/>
        <v>-522982</v>
      </c>
      <c r="I27" s="134"/>
      <c r="J27" s="134"/>
      <c r="K27" s="109"/>
      <c r="L27" s="109"/>
      <c r="M27" s="109"/>
      <c r="N27" s="109">
        <f>ROUND(SUM(B27:M27),0)</f>
        <v>-739192</v>
      </c>
    </row>
    <row r="28" spans="1:16" ht="15.75">
      <c r="A28" s="135"/>
      <c r="B28" s="109"/>
      <c r="C28" s="109"/>
      <c r="D28" s="109"/>
      <c r="E28" s="109"/>
      <c r="F28" s="109"/>
      <c r="G28" s="109"/>
      <c r="H28" s="134"/>
      <c r="I28" s="134"/>
      <c r="J28" s="134"/>
      <c r="K28" s="109"/>
      <c r="L28" s="109"/>
      <c r="M28" s="109"/>
      <c r="N28" s="109"/>
    </row>
    <row r="29" spans="1:16" ht="15.75">
      <c r="A29" s="135"/>
      <c r="B29" s="109"/>
      <c r="C29" s="109"/>
      <c r="D29" s="109"/>
      <c r="E29" s="109"/>
      <c r="F29" s="109"/>
      <c r="G29" s="109"/>
      <c r="H29" s="134"/>
      <c r="I29" s="134"/>
      <c r="J29" s="134"/>
      <c r="K29" s="109"/>
      <c r="L29" s="109"/>
      <c r="M29" s="109"/>
      <c r="N29" s="109"/>
    </row>
    <row r="30" spans="1:16" ht="15.75">
      <c r="A30" s="108" t="s">
        <v>293</v>
      </c>
      <c r="B30" s="118">
        <f>ROUND(SUM(B26:B29),0)</f>
        <v>-28773</v>
      </c>
      <c r="C30" s="118">
        <f t="shared" ref="C30:M30" si="4">ROUND(SUM(C26:C29),0)</f>
        <v>-35309</v>
      </c>
      <c r="D30" s="118">
        <f>ROUND(SUM(D26:D29),0)</f>
        <v>-30513</v>
      </c>
      <c r="E30" s="118">
        <f t="shared" si="4"/>
        <v>-9349</v>
      </c>
      <c r="F30" s="118">
        <f t="shared" si="4"/>
        <v>-37343</v>
      </c>
      <c r="G30" s="118">
        <f t="shared" si="4"/>
        <v>-74923</v>
      </c>
      <c r="H30" s="118">
        <f t="shared" si="4"/>
        <v>-522982</v>
      </c>
      <c r="I30" s="118">
        <f t="shared" si="4"/>
        <v>0</v>
      </c>
      <c r="J30" s="118">
        <f t="shared" si="4"/>
        <v>0</v>
      </c>
      <c r="K30" s="118">
        <f t="shared" si="4"/>
        <v>0</v>
      </c>
      <c r="L30" s="118">
        <f t="shared" si="4"/>
        <v>0</v>
      </c>
      <c r="M30" s="118">
        <f t="shared" si="4"/>
        <v>0</v>
      </c>
      <c r="N30" s="118">
        <f>SUM(N26:N29)</f>
        <v>-739192</v>
      </c>
    </row>
    <row r="31" spans="1:16" ht="15.75">
      <c r="A31" s="126"/>
      <c r="B31" s="109"/>
      <c r="C31" s="109"/>
      <c r="D31" s="109"/>
      <c r="E31" s="109"/>
      <c r="F31" s="109"/>
      <c r="G31" s="109"/>
      <c r="H31" s="134"/>
      <c r="I31" s="134"/>
      <c r="J31" s="134"/>
      <c r="K31" s="109"/>
      <c r="L31" s="109"/>
      <c r="M31" s="109"/>
      <c r="N31" s="109"/>
    </row>
    <row r="32" spans="1:16" ht="16.5" thickBot="1">
      <c r="A32" s="544" t="s">
        <v>292</v>
      </c>
      <c r="B32" s="121">
        <f>ROUND(+B9+B23+B30,0)</f>
        <v>0</v>
      </c>
      <c r="C32" s="121">
        <f t="shared" ref="C32:N32" si="5">ROUND(+C9+C23+C30,0)</f>
        <v>0</v>
      </c>
      <c r="D32" s="121">
        <f t="shared" si="5"/>
        <v>0</v>
      </c>
      <c r="E32" s="121">
        <f t="shared" si="5"/>
        <v>0</v>
      </c>
      <c r="F32" s="121">
        <f t="shared" si="5"/>
        <v>0</v>
      </c>
      <c r="G32" s="121">
        <f t="shared" si="5"/>
        <v>0</v>
      </c>
      <c r="H32" s="121">
        <f t="shared" si="5"/>
        <v>0</v>
      </c>
      <c r="I32" s="121">
        <f t="shared" si="5"/>
        <v>0</v>
      </c>
      <c r="J32" s="121">
        <f t="shared" si="5"/>
        <v>0</v>
      </c>
      <c r="K32" s="121">
        <f t="shared" si="5"/>
        <v>0</v>
      </c>
      <c r="L32" s="121">
        <f t="shared" si="5"/>
        <v>0</v>
      </c>
      <c r="M32" s="121">
        <f t="shared" si="5"/>
        <v>0</v>
      </c>
      <c r="N32" s="121">
        <f t="shared" si="5"/>
        <v>0</v>
      </c>
    </row>
    <row r="33" spans="1:14" ht="16.5" thickTop="1">
      <c r="A33" s="136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5.75">
      <c r="A34" s="136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15.75">
      <c r="A35" s="136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.75">
      <c r="A36" s="136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5.75">
      <c r="A37" s="136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5.75">
      <c r="A38" s="136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.75">
      <c r="A39" s="136"/>
      <c r="B39" s="102"/>
      <c r="C39" s="137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15.75">
      <c r="A40" s="136"/>
      <c r="B40" s="102"/>
      <c r="C40" s="137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5.75">
      <c r="A41" s="136"/>
      <c r="B41" s="102"/>
      <c r="C41" s="137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14">
      <c r="C42" s="494"/>
    </row>
    <row r="43" spans="1:14">
      <c r="C43" s="494"/>
    </row>
    <row r="44" spans="1:14">
      <c r="C44" s="494"/>
    </row>
    <row r="45" spans="1:14">
      <c r="C45" s="494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X43"/>
  <sheetViews>
    <sheetView topLeftCell="A7" zoomScale="85" zoomScaleNormal="85" zoomScaleSheetLayoutView="85" workbookViewId="0">
      <selection activeCell="H23" sqref="H23"/>
    </sheetView>
  </sheetViews>
  <sheetFormatPr defaultRowHeight="12.75"/>
  <cols>
    <col min="1" max="1" width="70.5703125" style="489" bestFit="1" customWidth="1"/>
    <col min="2" max="2" width="11.28515625" style="461" hidden="1" customWidth="1"/>
    <col min="3" max="3" width="11.85546875" style="461" hidden="1" customWidth="1"/>
    <col min="4" max="5" width="12.140625" style="461" hidden="1" customWidth="1"/>
    <col min="6" max="7" width="11.85546875" style="461" hidden="1" customWidth="1"/>
    <col min="8" max="8" width="12.42578125" style="461" customWidth="1"/>
    <col min="9" max="9" width="12.140625" style="461" hidden="1" customWidth="1"/>
    <col min="10" max="10" width="12.5703125" style="461" hidden="1" customWidth="1"/>
    <col min="11" max="11" width="12.140625" style="461" hidden="1" customWidth="1"/>
    <col min="12" max="12" width="11.42578125" style="461" hidden="1" customWidth="1"/>
    <col min="13" max="13" width="12.42578125" style="461" hidden="1" customWidth="1"/>
    <col min="14" max="14" width="17" style="461" bestFit="1" customWidth="1"/>
    <col min="15" max="15" width="22" style="489" customWidth="1"/>
    <col min="16" max="16" width="22" style="490" hidden="1" customWidth="1"/>
    <col min="17" max="17" width="17" style="489" hidden="1" customWidth="1"/>
    <col min="18" max="18" width="15" style="489" hidden="1" customWidth="1"/>
    <col min="19" max="19" width="10.28515625" style="489" hidden="1" customWidth="1"/>
    <col min="20" max="20" width="22" style="489" hidden="1" customWidth="1"/>
    <col min="21" max="22" width="9.140625" style="489" hidden="1" customWidth="1"/>
    <col min="23" max="23" width="12.5703125" style="489" hidden="1" customWidth="1"/>
    <col min="24" max="24" width="10.28515625" style="489" hidden="1" customWidth="1"/>
    <col min="25" max="256" width="9.140625" style="489"/>
    <col min="257" max="257" width="62.85546875" style="489" bestFit="1" customWidth="1"/>
    <col min="258" max="258" width="10.5703125" style="489" bestFit="1" customWidth="1"/>
    <col min="259" max="269" width="0" style="489" hidden="1" customWidth="1"/>
    <col min="270" max="270" width="14.7109375" style="489" bestFit="1" customWidth="1"/>
    <col min="271" max="279" width="0" style="489" hidden="1" customWidth="1"/>
    <col min="280" max="280" width="10.28515625" style="489" customWidth="1"/>
    <col min="281" max="512" width="9.140625" style="489"/>
    <col min="513" max="513" width="62.85546875" style="489" bestFit="1" customWidth="1"/>
    <col min="514" max="514" width="10.5703125" style="489" bestFit="1" customWidth="1"/>
    <col min="515" max="525" width="0" style="489" hidden="1" customWidth="1"/>
    <col min="526" max="526" width="14.7109375" style="489" bestFit="1" customWidth="1"/>
    <col min="527" max="535" width="0" style="489" hidden="1" customWidth="1"/>
    <col min="536" max="536" width="10.28515625" style="489" customWidth="1"/>
    <col min="537" max="768" width="9.140625" style="489"/>
    <col min="769" max="769" width="62.85546875" style="489" bestFit="1" customWidth="1"/>
    <col min="770" max="770" width="10.5703125" style="489" bestFit="1" customWidth="1"/>
    <col min="771" max="781" width="0" style="489" hidden="1" customWidth="1"/>
    <col min="782" max="782" width="14.7109375" style="489" bestFit="1" customWidth="1"/>
    <col min="783" max="791" width="0" style="489" hidden="1" customWidth="1"/>
    <col min="792" max="792" width="10.28515625" style="489" customWidth="1"/>
    <col min="793" max="1024" width="9.140625" style="489"/>
    <col min="1025" max="1025" width="62.85546875" style="489" bestFit="1" customWidth="1"/>
    <col min="1026" max="1026" width="10.5703125" style="489" bestFit="1" customWidth="1"/>
    <col min="1027" max="1037" width="0" style="489" hidden="1" customWidth="1"/>
    <col min="1038" max="1038" width="14.7109375" style="489" bestFit="1" customWidth="1"/>
    <col min="1039" max="1047" width="0" style="489" hidden="1" customWidth="1"/>
    <col min="1048" max="1048" width="10.28515625" style="489" customWidth="1"/>
    <col min="1049" max="1280" width="9.140625" style="489"/>
    <col min="1281" max="1281" width="62.85546875" style="489" bestFit="1" customWidth="1"/>
    <col min="1282" max="1282" width="10.5703125" style="489" bestFit="1" customWidth="1"/>
    <col min="1283" max="1293" width="0" style="489" hidden="1" customWidth="1"/>
    <col min="1294" max="1294" width="14.7109375" style="489" bestFit="1" customWidth="1"/>
    <col min="1295" max="1303" width="0" style="489" hidden="1" customWidth="1"/>
    <col min="1304" max="1304" width="10.28515625" style="489" customWidth="1"/>
    <col min="1305" max="1536" width="9.140625" style="489"/>
    <col min="1537" max="1537" width="62.85546875" style="489" bestFit="1" customWidth="1"/>
    <col min="1538" max="1538" width="10.5703125" style="489" bestFit="1" customWidth="1"/>
    <col min="1539" max="1549" width="0" style="489" hidden="1" customWidth="1"/>
    <col min="1550" max="1550" width="14.7109375" style="489" bestFit="1" customWidth="1"/>
    <col min="1551" max="1559" width="0" style="489" hidden="1" customWidth="1"/>
    <col min="1560" max="1560" width="10.28515625" style="489" customWidth="1"/>
    <col min="1561" max="1792" width="9.140625" style="489"/>
    <col min="1793" max="1793" width="62.85546875" style="489" bestFit="1" customWidth="1"/>
    <col min="1794" max="1794" width="10.5703125" style="489" bestFit="1" customWidth="1"/>
    <col min="1795" max="1805" width="0" style="489" hidden="1" customWidth="1"/>
    <col min="1806" max="1806" width="14.7109375" style="489" bestFit="1" customWidth="1"/>
    <col min="1807" max="1815" width="0" style="489" hidden="1" customWidth="1"/>
    <col min="1816" max="1816" width="10.28515625" style="489" customWidth="1"/>
    <col min="1817" max="2048" width="9.140625" style="489"/>
    <col min="2049" max="2049" width="62.85546875" style="489" bestFit="1" customWidth="1"/>
    <col min="2050" max="2050" width="10.5703125" style="489" bestFit="1" customWidth="1"/>
    <col min="2051" max="2061" width="0" style="489" hidden="1" customWidth="1"/>
    <col min="2062" max="2062" width="14.7109375" style="489" bestFit="1" customWidth="1"/>
    <col min="2063" max="2071" width="0" style="489" hidden="1" customWidth="1"/>
    <col min="2072" max="2072" width="10.28515625" style="489" customWidth="1"/>
    <col min="2073" max="2304" width="9.140625" style="489"/>
    <col min="2305" max="2305" width="62.85546875" style="489" bestFit="1" customWidth="1"/>
    <col min="2306" max="2306" width="10.5703125" style="489" bestFit="1" customWidth="1"/>
    <col min="2307" max="2317" width="0" style="489" hidden="1" customWidth="1"/>
    <col min="2318" max="2318" width="14.7109375" style="489" bestFit="1" customWidth="1"/>
    <col min="2319" max="2327" width="0" style="489" hidden="1" customWidth="1"/>
    <col min="2328" max="2328" width="10.28515625" style="489" customWidth="1"/>
    <col min="2329" max="2560" width="9.140625" style="489"/>
    <col min="2561" max="2561" width="62.85546875" style="489" bestFit="1" customWidth="1"/>
    <col min="2562" max="2562" width="10.5703125" style="489" bestFit="1" customWidth="1"/>
    <col min="2563" max="2573" width="0" style="489" hidden="1" customWidth="1"/>
    <col min="2574" max="2574" width="14.7109375" style="489" bestFit="1" customWidth="1"/>
    <col min="2575" max="2583" width="0" style="489" hidden="1" customWidth="1"/>
    <col min="2584" max="2584" width="10.28515625" style="489" customWidth="1"/>
    <col min="2585" max="2816" width="9.140625" style="489"/>
    <col min="2817" max="2817" width="62.85546875" style="489" bestFit="1" customWidth="1"/>
    <col min="2818" max="2818" width="10.5703125" style="489" bestFit="1" customWidth="1"/>
    <col min="2819" max="2829" width="0" style="489" hidden="1" customWidth="1"/>
    <col min="2830" max="2830" width="14.7109375" style="489" bestFit="1" customWidth="1"/>
    <col min="2831" max="2839" width="0" style="489" hidden="1" customWidth="1"/>
    <col min="2840" max="2840" width="10.28515625" style="489" customWidth="1"/>
    <col min="2841" max="3072" width="9.140625" style="489"/>
    <col min="3073" max="3073" width="62.85546875" style="489" bestFit="1" customWidth="1"/>
    <col min="3074" max="3074" width="10.5703125" style="489" bestFit="1" customWidth="1"/>
    <col min="3075" max="3085" width="0" style="489" hidden="1" customWidth="1"/>
    <col min="3086" max="3086" width="14.7109375" style="489" bestFit="1" customWidth="1"/>
    <col min="3087" max="3095" width="0" style="489" hidden="1" customWidth="1"/>
    <col min="3096" max="3096" width="10.28515625" style="489" customWidth="1"/>
    <col min="3097" max="3328" width="9.140625" style="489"/>
    <col min="3329" max="3329" width="62.85546875" style="489" bestFit="1" customWidth="1"/>
    <col min="3330" max="3330" width="10.5703125" style="489" bestFit="1" customWidth="1"/>
    <col min="3331" max="3341" width="0" style="489" hidden="1" customWidth="1"/>
    <col min="3342" max="3342" width="14.7109375" style="489" bestFit="1" customWidth="1"/>
    <col min="3343" max="3351" width="0" style="489" hidden="1" customWidth="1"/>
    <col min="3352" max="3352" width="10.28515625" style="489" customWidth="1"/>
    <col min="3353" max="3584" width="9.140625" style="489"/>
    <col min="3585" max="3585" width="62.85546875" style="489" bestFit="1" customWidth="1"/>
    <col min="3586" max="3586" width="10.5703125" style="489" bestFit="1" customWidth="1"/>
    <col min="3587" max="3597" width="0" style="489" hidden="1" customWidth="1"/>
    <col min="3598" max="3598" width="14.7109375" style="489" bestFit="1" customWidth="1"/>
    <col min="3599" max="3607" width="0" style="489" hidden="1" customWidth="1"/>
    <col min="3608" max="3608" width="10.28515625" style="489" customWidth="1"/>
    <col min="3609" max="3840" width="9.140625" style="489"/>
    <col min="3841" max="3841" width="62.85546875" style="489" bestFit="1" customWidth="1"/>
    <col min="3842" max="3842" width="10.5703125" style="489" bestFit="1" customWidth="1"/>
    <col min="3843" max="3853" width="0" style="489" hidden="1" customWidth="1"/>
    <col min="3854" max="3854" width="14.7109375" style="489" bestFit="1" customWidth="1"/>
    <col min="3855" max="3863" width="0" style="489" hidden="1" customWidth="1"/>
    <col min="3864" max="3864" width="10.28515625" style="489" customWidth="1"/>
    <col min="3865" max="4096" width="9.140625" style="489"/>
    <col min="4097" max="4097" width="62.85546875" style="489" bestFit="1" customWidth="1"/>
    <col min="4098" max="4098" width="10.5703125" style="489" bestFit="1" customWidth="1"/>
    <col min="4099" max="4109" width="0" style="489" hidden="1" customWidth="1"/>
    <col min="4110" max="4110" width="14.7109375" style="489" bestFit="1" customWidth="1"/>
    <col min="4111" max="4119" width="0" style="489" hidden="1" customWidth="1"/>
    <col min="4120" max="4120" width="10.28515625" style="489" customWidth="1"/>
    <col min="4121" max="4352" width="9.140625" style="489"/>
    <col min="4353" max="4353" width="62.85546875" style="489" bestFit="1" customWidth="1"/>
    <col min="4354" max="4354" width="10.5703125" style="489" bestFit="1" customWidth="1"/>
    <col min="4355" max="4365" width="0" style="489" hidden="1" customWidth="1"/>
    <col min="4366" max="4366" width="14.7109375" style="489" bestFit="1" customWidth="1"/>
    <col min="4367" max="4375" width="0" style="489" hidden="1" customWidth="1"/>
    <col min="4376" max="4376" width="10.28515625" style="489" customWidth="1"/>
    <col min="4377" max="4608" width="9.140625" style="489"/>
    <col min="4609" max="4609" width="62.85546875" style="489" bestFit="1" customWidth="1"/>
    <col min="4610" max="4610" width="10.5703125" style="489" bestFit="1" customWidth="1"/>
    <col min="4611" max="4621" width="0" style="489" hidden="1" customWidth="1"/>
    <col min="4622" max="4622" width="14.7109375" style="489" bestFit="1" customWidth="1"/>
    <col min="4623" max="4631" width="0" style="489" hidden="1" customWidth="1"/>
    <col min="4632" max="4632" width="10.28515625" style="489" customWidth="1"/>
    <col min="4633" max="4864" width="9.140625" style="489"/>
    <col min="4865" max="4865" width="62.85546875" style="489" bestFit="1" customWidth="1"/>
    <col min="4866" max="4866" width="10.5703125" style="489" bestFit="1" customWidth="1"/>
    <col min="4867" max="4877" width="0" style="489" hidden="1" customWidth="1"/>
    <col min="4878" max="4878" width="14.7109375" style="489" bestFit="1" customWidth="1"/>
    <col min="4879" max="4887" width="0" style="489" hidden="1" customWidth="1"/>
    <col min="4888" max="4888" width="10.28515625" style="489" customWidth="1"/>
    <col min="4889" max="5120" width="9.140625" style="489"/>
    <col min="5121" max="5121" width="62.85546875" style="489" bestFit="1" customWidth="1"/>
    <col min="5122" max="5122" width="10.5703125" style="489" bestFit="1" customWidth="1"/>
    <col min="5123" max="5133" width="0" style="489" hidden="1" customWidth="1"/>
    <col min="5134" max="5134" width="14.7109375" style="489" bestFit="1" customWidth="1"/>
    <col min="5135" max="5143" width="0" style="489" hidden="1" customWidth="1"/>
    <col min="5144" max="5144" width="10.28515625" style="489" customWidth="1"/>
    <col min="5145" max="5376" width="9.140625" style="489"/>
    <col min="5377" max="5377" width="62.85546875" style="489" bestFit="1" customWidth="1"/>
    <col min="5378" max="5378" width="10.5703125" style="489" bestFit="1" customWidth="1"/>
    <col min="5379" max="5389" width="0" style="489" hidden="1" customWidth="1"/>
    <col min="5390" max="5390" width="14.7109375" style="489" bestFit="1" customWidth="1"/>
    <col min="5391" max="5399" width="0" style="489" hidden="1" customWidth="1"/>
    <col min="5400" max="5400" width="10.28515625" style="489" customWidth="1"/>
    <col min="5401" max="5632" width="9.140625" style="489"/>
    <col min="5633" max="5633" width="62.85546875" style="489" bestFit="1" customWidth="1"/>
    <col min="5634" max="5634" width="10.5703125" style="489" bestFit="1" customWidth="1"/>
    <col min="5635" max="5645" width="0" style="489" hidden="1" customWidth="1"/>
    <col min="5646" max="5646" width="14.7109375" style="489" bestFit="1" customWidth="1"/>
    <col min="5647" max="5655" width="0" style="489" hidden="1" customWidth="1"/>
    <col min="5656" max="5656" width="10.28515625" style="489" customWidth="1"/>
    <col min="5657" max="5888" width="9.140625" style="489"/>
    <col min="5889" max="5889" width="62.85546875" style="489" bestFit="1" customWidth="1"/>
    <col min="5890" max="5890" width="10.5703125" style="489" bestFit="1" customWidth="1"/>
    <col min="5891" max="5901" width="0" style="489" hidden="1" customWidth="1"/>
    <col min="5902" max="5902" width="14.7109375" style="489" bestFit="1" customWidth="1"/>
    <col min="5903" max="5911" width="0" style="489" hidden="1" customWidth="1"/>
    <col min="5912" max="5912" width="10.28515625" style="489" customWidth="1"/>
    <col min="5913" max="6144" width="9.140625" style="489"/>
    <col min="6145" max="6145" width="62.85546875" style="489" bestFit="1" customWidth="1"/>
    <col min="6146" max="6146" width="10.5703125" style="489" bestFit="1" customWidth="1"/>
    <col min="6147" max="6157" width="0" style="489" hidden="1" customWidth="1"/>
    <col min="6158" max="6158" width="14.7109375" style="489" bestFit="1" customWidth="1"/>
    <col min="6159" max="6167" width="0" style="489" hidden="1" customWidth="1"/>
    <col min="6168" max="6168" width="10.28515625" style="489" customWidth="1"/>
    <col min="6169" max="6400" width="9.140625" style="489"/>
    <col min="6401" max="6401" width="62.85546875" style="489" bestFit="1" customWidth="1"/>
    <col min="6402" max="6402" width="10.5703125" style="489" bestFit="1" customWidth="1"/>
    <col min="6403" max="6413" width="0" style="489" hidden="1" customWidth="1"/>
    <col min="6414" max="6414" width="14.7109375" style="489" bestFit="1" customWidth="1"/>
    <col min="6415" max="6423" width="0" style="489" hidden="1" customWidth="1"/>
    <col min="6424" max="6424" width="10.28515625" style="489" customWidth="1"/>
    <col min="6425" max="6656" width="9.140625" style="489"/>
    <col min="6657" max="6657" width="62.85546875" style="489" bestFit="1" customWidth="1"/>
    <col min="6658" max="6658" width="10.5703125" style="489" bestFit="1" customWidth="1"/>
    <col min="6659" max="6669" width="0" style="489" hidden="1" customWidth="1"/>
    <col min="6670" max="6670" width="14.7109375" style="489" bestFit="1" customWidth="1"/>
    <col min="6671" max="6679" width="0" style="489" hidden="1" customWidth="1"/>
    <col min="6680" max="6680" width="10.28515625" style="489" customWidth="1"/>
    <col min="6681" max="6912" width="9.140625" style="489"/>
    <col min="6913" max="6913" width="62.85546875" style="489" bestFit="1" customWidth="1"/>
    <col min="6914" max="6914" width="10.5703125" style="489" bestFit="1" customWidth="1"/>
    <col min="6915" max="6925" width="0" style="489" hidden="1" customWidth="1"/>
    <col min="6926" max="6926" width="14.7109375" style="489" bestFit="1" customWidth="1"/>
    <col min="6927" max="6935" width="0" style="489" hidden="1" customWidth="1"/>
    <col min="6936" max="6936" width="10.28515625" style="489" customWidth="1"/>
    <col min="6937" max="7168" width="9.140625" style="489"/>
    <col min="7169" max="7169" width="62.85546875" style="489" bestFit="1" customWidth="1"/>
    <col min="7170" max="7170" width="10.5703125" style="489" bestFit="1" customWidth="1"/>
    <col min="7171" max="7181" width="0" style="489" hidden="1" customWidth="1"/>
    <col min="7182" max="7182" width="14.7109375" style="489" bestFit="1" customWidth="1"/>
    <col min="7183" max="7191" width="0" style="489" hidden="1" customWidth="1"/>
    <col min="7192" max="7192" width="10.28515625" style="489" customWidth="1"/>
    <col min="7193" max="7424" width="9.140625" style="489"/>
    <col min="7425" max="7425" width="62.85546875" style="489" bestFit="1" customWidth="1"/>
    <col min="7426" max="7426" width="10.5703125" style="489" bestFit="1" customWidth="1"/>
    <col min="7427" max="7437" width="0" style="489" hidden="1" customWidth="1"/>
    <col min="7438" max="7438" width="14.7109375" style="489" bestFit="1" customWidth="1"/>
    <col min="7439" max="7447" width="0" style="489" hidden="1" customWidth="1"/>
    <col min="7448" max="7448" width="10.28515625" style="489" customWidth="1"/>
    <col min="7449" max="7680" width="9.140625" style="489"/>
    <col min="7681" max="7681" width="62.85546875" style="489" bestFit="1" customWidth="1"/>
    <col min="7682" max="7682" width="10.5703125" style="489" bestFit="1" customWidth="1"/>
    <col min="7683" max="7693" width="0" style="489" hidden="1" customWidth="1"/>
    <col min="7694" max="7694" width="14.7109375" style="489" bestFit="1" customWidth="1"/>
    <col min="7695" max="7703" width="0" style="489" hidden="1" customWidth="1"/>
    <col min="7704" max="7704" width="10.28515625" style="489" customWidth="1"/>
    <col min="7705" max="7936" width="9.140625" style="489"/>
    <col min="7937" max="7937" width="62.85546875" style="489" bestFit="1" customWidth="1"/>
    <col min="7938" max="7938" width="10.5703125" style="489" bestFit="1" customWidth="1"/>
    <col min="7939" max="7949" width="0" style="489" hidden="1" customWidth="1"/>
    <col min="7950" max="7950" width="14.7109375" style="489" bestFit="1" customWidth="1"/>
    <col min="7951" max="7959" width="0" style="489" hidden="1" customWidth="1"/>
    <col min="7960" max="7960" width="10.28515625" style="489" customWidth="1"/>
    <col min="7961" max="8192" width="9.140625" style="489"/>
    <col min="8193" max="8193" width="62.85546875" style="489" bestFit="1" customWidth="1"/>
    <col min="8194" max="8194" width="10.5703125" style="489" bestFit="1" customWidth="1"/>
    <col min="8195" max="8205" width="0" style="489" hidden="1" customWidth="1"/>
    <col min="8206" max="8206" width="14.7109375" style="489" bestFit="1" customWidth="1"/>
    <col min="8207" max="8215" width="0" style="489" hidden="1" customWidth="1"/>
    <col min="8216" max="8216" width="10.28515625" style="489" customWidth="1"/>
    <col min="8217" max="8448" width="9.140625" style="489"/>
    <col min="8449" max="8449" width="62.85546875" style="489" bestFit="1" customWidth="1"/>
    <col min="8450" max="8450" width="10.5703125" style="489" bestFit="1" customWidth="1"/>
    <col min="8451" max="8461" width="0" style="489" hidden="1" customWidth="1"/>
    <col min="8462" max="8462" width="14.7109375" style="489" bestFit="1" customWidth="1"/>
    <col min="8463" max="8471" width="0" style="489" hidden="1" customWidth="1"/>
    <col min="8472" max="8472" width="10.28515625" style="489" customWidth="1"/>
    <col min="8473" max="8704" width="9.140625" style="489"/>
    <col min="8705" max="8705" width="62.85546875" style="489" bestFit="1" customWidth="1"/>
    <col min="8706" max="8706" width="10.5703125" style="489" bestFit="1" customWidth="1"/>
    <col min="8707" max="8717" width="0" style="489" hidden="1" customWidth="1"/>
    <col min="8718" max="8718" width="14.7109375" style="489" bestFit="1" customWidth="1"/>
    <col min="8719" max="8727" width="0" style="489" hidden="1" customWidth="1"/>
    <col min="8728" max="8728" width="10.28515625" style="489" customWidth="1"/>
    <col min="8729" max="8960" width="9.140625" style="489"/>
    <col min="8961" max="8961" width="62.85546875" style="489" bestFit="1" customWidth="1"/>
    <col min="8962" max="8962" width="10.5703125" style="489" bestFit="1" customWidth="1"/>
    <col min="8963" max="8973" width="0" style="489" hidden="1" customWidth="1"/>
    <col min="8974" max="8974" width="14.7109375" style="489" bestFit="1" customWidth="1"/>
    <col min="8975" max="8983" width="0" style="489" hidden="1" customWidth="1"/>
    <col min="8984" max="8984" width="10.28515625" style="489" customWidth="1"/>
    <col min="8985" max="9216" width="9.140625" style="489"/>
    <col min="9217" max="9217" width="62.85546875" style="489" bestFit="1" customWidth="1"/>
    <col min="9218" max="9218" width="10.5703125" style="489" bestFit="1" customWidth="1"/>
    <col min="9219" max="9229" width="0" style="489" hidden="1" customWidth="1"/>
    <col min="9230" max="9230" width="14.7109375" style="489" bestFit="1" customWidth="1"/>
    <col min="9231" max="9239" width="0" style="489" hidden="1" customWidth="1"/>
    <col min="9240" max="9240" width="10.28515625" style="489" customWidth="1"/>
    <col min="9241" max="9472" width="9.140625" style="489"/>
    <col min="9473" max="9473" width="62.85546875" style="489" bestFit="1" customWidth="1"/>
    <col min="9474" max="9474" width="10.5703125" style="489" bestFit="1" customWidth="1"/>
    <col min="9475" max="9485" width="0" style="489" hidden="1" customWidth="1"/>
    <col min="9486" max="9486" width="14.7109375" style="489" bestFit="1" customWidth="1"/>
    <col min="9487" max="9495" width="0" style="489" hidden="1" customWidth="1"/>
    <col min="9496" max="9496" width="10.28515625" style="489" customWidth="1"/>
    <col min="9497" max="9728" width="9.140625" style="489"/>
    <col min="9729" max="9729" width="62.85546875" style="489" bestFit="1" customWidth="1"/>
    <col min="9730" max="9730" width="10.5703125" style="489" bestFit="1" customWidth="1"/>
    <col min="9731" max="9741" width="0" style="489" hidden="1" customWidth="1"/>
    <col min="9742" max="9742" width="14.7109375" style="489" bestFit="1" customWidth="1"/>
    <col min="9743" max="9751" width="0" style="489" hidden="1" customWidth="1"/>
    <col min="9752" max="9752" width="10.28515625" style="489" customWidth="1"/>
    <col min="9753" max="9984" width="9.140625" style="489"/>
    <col min="9985" max="9985" width="62.85546875" style="489" bestFit="1" customWidth="1"/>
    <col min="9986" max="9986" width="10.5703125" style="489" bestFit="1" customWidth="1"/>
    <col min="9987" max="9997" width="0" style="489" hidden="1" customWidth="1"/>
    <col min="9998" max="9998" width="14.7109375" style="489" bestFit="1" customWidth="1"/>
    <col min="9999" max="10007" width="0" style="489" hidden="1" customWidth="1"/>
    <col min="10008" max="10008" width="10.28515625" style="489" customWidth="1"/>
    <col min="10009" max="10240" width="9.140625" style="489"/>
    <col min="10241" max="10241" width="62.85546875" style="489" bestFit="1" customWidth="1"/>
    <col min="10242" max="10242" width="10.5703125" style="489" bestFit="1" customWidth="1"/>
    <col min="10243" max="10253" width="0" style="489" hidden="1" customWidth="1"/>
    <col min="10254" max="10254" width="14.7109375" style="489" bestFit="1" customWidth="1"/>
    <col min="10255" max="10263" width="0" style="489" hidden="1" customWidth="1"/>
    <col min="10264" max="10264" width="10.28515625" style="489" customWidth="1"/>
    <col min="10265" max="10496" width="9.140625" style="489"/>
    <col min="10497" max="10497" width="62.85546875" style="489" bestFit="1" customWidth="1"/>
    <col min="10498" max="10498" width="10.5703125" style="489" bestFit="1" customWidth="1"/>
    <col min="10499" max="10509" width="0" style="489" hidden="1" customWidth="1"/>
    <col min="10510" max="10510" width="14.7109375" style="489" bestFit="1" customWidth="1"/>
    <col min="10511" max="10519" width="0" style="489" hidden="1" customWidth="1"/>
    <col min="10520" max="10520" width="10.28515625" style="489" customWidth="1"/>
    <col min="10521" max="10752" width="9.140625" style="489"/>
    <col min="10753" max="10753" width="62.85546875" style="489" bestFit="1" customWidth="1"/>
    <col min="10754" max="10754" width="10.5703125" style="489" bestFit="1" customWidth="1"/>
    <col min="10755" max="10765" width="0" style="489" hidden="1" customWidth="1"/>
    <col min="10766" max="10766" width="14.7109375" style="489" bestFit="1" customWidth="1"/>
    <col min="10767" max="10775" width="0" style="489" hidden="1" customWidth="1"/>
    <col min="10776" max="10776" width="10.28515625" style="489" customWidth="1"/>
    <col min="10777" max="11008" width="9.140625" style="489"/>
    <col min="11009" max="11009" width="62.85546875" style="489" bestFit="1" customWidth="1"/>
    <col min="11010" max="11010" width="10.5703125" style="489" bestFit="1" customWidth="1"/>
    <col min="11011" max="11021" width="0" style="489" hidden="1" customWidth="1"/>
    <col min="11022" max="11022" width="14.7109375" style="489" bestFit="1" customWidth="1"/>
    <col min="11023" max="11031" width="0" style="489" hidden="1" customWidth="1"/>
    <col min="11032" max="11032" width="10.28515625" style="489" customWidth="1"/>
    <col min="11033" max="11264" width="9.140625" style="489"/>
    <col min="11265" max="11265" width="62.85546875" style="489" bestFit="1" customWidth="1"/>
    <col min="11266" max="11266" width="10.5703125" style="489" bestFit="1" customWidth="1"/>
    <col min="11267" max="11277" width="0" style="489" hidden="1" customWidth="1"/>
    <col min="11278" max="11278" width="14.7109375" style="489" bestFit="1" customWidth="1"/>
    <col min="11279" max="11287" width="0" style="489" hidden="1" customWidth="1"/>
    <col min="11288" max="11288" width="10.28515625" style="489" customWidth="1"/>
    <col min="11289" max="11520" width="9.140625" style="489"/>
    <col min="11521" max="11521" width="62.85546875" style="489" bestFit="1" customWidth="1"/>
    <col min="11522" max="11522" width="10.5703125" style="489" bestFit="1" customWidth="1"/>
    <col min="11523" max="11533" width="0" style="489" hidden="1" customWidth="1"/>
    <col min="11534" max="11534" width="14.7109375" style="489" bestFit="1" customWidth="1"/>
    <col min="11535" max="11543" width="0" style="489" hidden="1" customWidth="1"/>
    <col min="11544" max="11544" width="10.28515625" style="489" customWidth="1"/>
    <col min="11545" max="11776" width="9.140625" style="489"/>
    <col min="11777" max="11777" width="62.85546875" style="489" bestFit="1" customWidth="1"/>
    <col min="11778" max="11778" width="10.5703125" style="489" bestFit="1" customWidth="1"/>
    <col min="11779" max="11789" width="0" style="489" hidden="1" customWidth="1"/>
    <col min="11790" max="11790" width="14.7109375" style="489" bestFit="1" customWidth="1"/>
    <col min="11791" max="11799" width="0" style="489" hidden="1" customWidth="1"/>
    <col min="11800" max="11800" width="10.28515625" style="489" customWidth="1"/>
    <col min="11801" max="12032" width="9.140625" style="489"/>
    <col min="12033" max="12033" width="62.85546875" style="489" bestFit="1" customWidth="1"/>
    <col min="12034" max="12034" width="10.5703125" style="489" bestFit="1" customWidth="1"/>
    <col min="12035" max="12045" width="0" style="489" hidden="1" customWidth="1"/>
    <col min="12046" max="12046" width="14.7109375" style="489" bestFit="1" customWidth="1"/>
    <col min="12047" max="12055" width="0" style="489" hidden="1" customWidth="1"/>
    <col min="12056" max="12056" width="10.28515625" style="489" customWidth="1"/>
    <col min="12057" max="12288" width="9.140625" style="489"/>
    <col min="12289" max="12289" width="62.85546875" style="489" bestFit="1" customWidth="1"/>
    <col min="12290" max="12290" width="10.5703125" style="489" bestFit="1" customWidth="1"/>
    <col min="12291" max="12301" width="0" style="489" hidden="1" customWidth="1"/>
    <col min="12302" max="12302" width="14.7109375" style="489" bestFit="1" customWidth="1"/>
    <col min="12303" max="12311" width="0" style="489" hidden="1" customWidth="1"/>
    <col min="12312" max="12312" width="10.28515625" style="489" customWidth="1"/>
    <col min="12313" max="12544" width="9.140625" style="489"/>
    <col min="12545" max="12545" width="62.85546875" style="489" bestFit="1" customWidth="1"/>
    <col min="12546" max="12546" width="10.5703125" style="489" bestFit="1" customWidth="1"/>
    <col min="12547" max="12557" width="0" style="489" hidden="1" customWidth="1"/>
    <col min="12558" max="12558" width="14.7109375" style="489" bestFit="1" customWidth="1"/>
    <col min="12559" max="12567" width="0" style="489" hidden="1" customWidth="1"/>
    <col min="12568" max="12568" width="10.28515625" style="489" customWidth="1"/>
    <col min="12569" max="12800" width="9.140625" style="489"/>
    <col min="12801" max="12801" width="62.85546875" style="489" bestFit="1" customWidth="1"/>
    <col min="12802" max="12802" width="10.5703125" style="489" bestFit="1" customWidth="1"/>
    <col min="12803" max="12813" width="0" style="489" hidden="1" customWidth="1"/>
    <col min="12814" max="12814" width="14.7109375" style="489" bestFit="1" customWidth="1"/>
    <col min="12815" max="12823" width="0" style="489" hidden="1" customWidth="1"/>
    <col min="12824" max="12824" width="10.28515625" style="489" customWidth="1"/>
    <col min="12825" max="13056" width="9.140625" style="489"/>
    <col min="13057" max="13057" width="62.85546875" style="489" bestFit="1" customWidth="1"/>
    <col min="13058" max="13058" width="10.5703125" style="489" bestFit="1" customWidth="1"/>
    <col min="13059" max="13069" width="0" style="489" hidden="1" customWidth="1"/>
    <col min="13070" max="13070" width="14.7109375" style="489" bestFit="1" customWidth="1"/>
    <col min="13071" max="13079" width="0" style="489" hidden="1" customWidth="1"/>
    <col min="13080" max="13080" width="10.28515625" style="489" customWidth="1"/>
    <col min="13081" max="13312" width="9.140625" style="489"/>
    <col min="13313" max="13313" width="62.85546875" style="489" bestFit="1" customWidth="1"/>
    <col min="13314" max="13314" width="10.5703125" style="489" bestFit="1" customWidth="1"/>
    <col min="13315" max="13325" width="0" style="489" hidden="1" customWidth="1"/>
    <col min="13326" max="13326" width="14.7109375" style="489" bestFit="1" customWidth="1"/>
    <col min="13327" max="13335" width="0" style="489" hidden="1" customWidth="1"/>
    <col min="13336" max="13336" width="10.28515625" style="489" customWidth="1"/>
    <col min="13337" max="13568" width="9.140625" style="489"/>
    <col min="13569" max="13569" width="62.85546875" style="489" bestFit="1" customWidth="1"/>
    <col min="13570" max="13570" width="10.5703125" style="489" bestFit="1" customWidth="1"/>
    <col min="13571" max="13581" width="0" style="489" hidden="1" customWidth="1"/>
    <col min="13582" max="13582" width="14.7109375" style="489" bestFit="1" customWidth="1"/>
    <col min="13583" max="13591" width="0" style="489" hidden="1" customWidth="1"/>
    <col min="13592" max="13592" width="10.28515625" style="489" customWidth="1"/>
    <col min="13593" max="13824" width="9.140625" style="489"/>
    <col min="13825" max="13825" width="62.85546875" style="489" bestFit="1" customWidth="1"/>
    <col min="13826" max="13826" width="10.5703125" style="489" bestFit="1" customWidth="1"/>
    <col min="13827" max="13837" width="0" style="489" hidden="1" customWidth="1"/>
    <col min="13838" max="13838" width="14.7109375" style="489" bestFit="1" customWidth="1"/>
    <col min="13839" max="13847" width="0" style="489" hidden="1" customWidth="1"/>
    <col min="13848" max="13848" width="10.28515625" style="489" customWidth="1"/>
    <col min="13849" max="14080" width="9.140625" style="489"/>
    <col min="14081" max="14081" width="62.85546875" style="489" bestFit="1" customWidth="1"/>
    <col min="14082" max="14082" width="10.5703125" style="489" bestFit="1" customWidth="1"/>
    <col min="14083" max="14093" width="0" style="489" hidden="1" customWidth="1"/>
    <col min="14094" max="14094" width="14.7109375" style="489" bestFit="1" customWidth="1"/>
    <col min="14095" max="14103" width="0" style="489" hidden="1" customWidth="1"/>
    <col min="14104" max="14104" width="10.28515625" style="489" customWidth="1"/>
    <col min="14105" max="14336" width="9.140625" style="489"/>
    <col min="14337" max="14337" width="62.85546875" style="489" bestFit="1" customWidth="1"/>
    <col min="14338" max="14338" width="10.5703125" style="489" bestFit="1" customWidth="1"/>
    <col min="14339" max="14349" width="0" style="489" hidden="1" customWidth="1"/>
    <col min="14350" max="14350" width="14.7109375" style="489" bestFit="1" customWidth="1"/>
    <col min="14351" max="14359" width="0" style="489" hidden="1" customWidth="1"/>
    <col min="14360" max="14360" width="10.28515625" style="489" customWidth="1"/>
    <col min="14361" max="14592" width="9.140625" style="489"/>
    <col min="14593" max="14593" width="62.85546875" style="489" bestFit="1" customWidth="1"/>
    <col min="14594" max="14594" width="10.5703125" style="489" bestFit="1" customWidth="1"/>
    <col min="14595" max="14605" width="0" style="489" hidden="1" customWidth="1"/>
    <col min="14606" max="14606" width="14.7109375" style="489" bestFit="1" customWidth="1"/>
    <col min="14607" max="14615" width="0" style="489" hidden="1" customWidth="1"/>
    <col min="14616" max="14616" width="10.28515625" style="489" customWidth="1"/>
    <col min="14617" max="14848" width="9.140625" style="489"/>
    <col min="14849" max="14849" width="62.85546875" style="489" bestFit="1" customWidth="1"/>
    <col min="14850" max="14850" width="10.5703125" style="489" bestFit="1" customWidth="1"/>
    <col min="14851" max="14861" width="0" style="489" hidden="1" customWidth="1"/>
    <col min="14862" max="14862" width="14.7109375" style="489" bestFit="1" customWidth="1"/>
    <col min="14863" max="14871" width="0" style="489" hidden="1" customWidth="1"/>
    <col min="14872" max="14872" width="10.28515625" style="489" customWidth="1"/>
    <col min="14873" max="15104" width="9.140625" style="489"/>
    <col min="15105" max="15105" width="62.85546875" style="489" bestFit="1" customWidth="1"/>
    <col min="15106" max="15106" width="10.5703125" style="489" bestFit="1" customWidth="1"/>
    <col min="15107" max="15117" width="0" style="489" hidden="1" customWidth="1"/>
    <col min="15118" max="15118" width="14.7109375" style="489" bestFit="1" customWidth="1"/>
    <col min="15119" max="15127" width="0" style="489" hidden="1" customWidth="1"/>
    <col min="15128" max="15128" width="10.28515625" style="489" customWidth="1"/>
    <col min="15129" max="15360" width="9.140625" style="489"/>
    <col min="15361" max="15361" width="62.85546875" style="489" bestFit="1" customWidth="1"/>
    <col min="15362" max="15362" width="10.5703125" style="489" bestFit="1" customWidth="1"/>
    <col min="15363" max="15373" width="0" style="489" hidden="1" customWidth="1"/>
    <col min="15374" max="15374" width="14.7109375" style="489" bestFit="1" customWidth="1"/>
    <col min="15375" max="15383" width="0" style="489" hidden="1" customWidth="1"/>
    <col min="15384" max="15384" width="10.28515625" style="489" customWidth="1"/>
    <col min="15385" max="15616" width="9.140625" style="489"/>
    <col min="15617" max="15617" width="62.85546875" style="489" bestFit="1" customWidth="1"/>
    <col min="15618" max="15618" width="10.5703125" style="489" bestFit="1" customWidth="1"/>
    <col min="15619" max="15629" width="0" style="489" hidden="1" customWidth="1"/>
    <col min="15630" max="15630" width="14.7109375" style="489" bestFit="1" customWidth="1"/>
    <col min="15631" max="15639" width="0" style="489" hidden="1" customWidth="1"/>
    <col min="15640" max="15640" width="10.28515625" style="489" customWidth="1"/>
    <col min="15641" max="15872" width="9.140625" style="489"/>
    <col min="15873" max="15873" width="62.85546875" style="489" bestFit="1" customWidth="1"/>
    <col min="15874" max="15874" width="10.5703125" style="489" bestFit="1" customWidth="1"/>
    <col min="15875" max="15885" width="0" style="489" hidden="1" customWidth="1"/>
    <col min="15886" max="15886" width="14.7109375" style="489" bestFit="1" customWidth="1"/>
    <col min="15887" max="15895" width="0" style="489" hidden="1" customWidth="1"/>
    <col min="15896" max="15896" width="10.28515625" style="489" customWidth="1"/>
    <col min="15897" max="16128" width="9.140625" style="489"/>
    <col min="16129" max="16129" width="62.85546875" style="489" bestFit="1" customWidth="1"/>
    <col min="16130" max="16130" width="10.5703125" style="489" bestFit="1" customWidth="1"/>
    <col min="16131" max="16141" width="0" style="489" hidden="1" customWidth="1"/>
    <col min="16142" max="16142" width="14.7109375" style="489" bestFit="1" customWidth="1"/>
    <col min="16143" max="16151" width="0" style="489" hidden="1" customWidth="1"/>
    <col min="16152" max="16152" width="10.28515625" style="489" customWidth="1"/>
    <col min="16153" max="16384" width="9.140625" style="489"/>
  </cols>
  <sheetData>
    <row r="1" spans="1:19" s="478" customFormat="1" ht="15.75">
      <c r="A1" s="573" t="s">
        <v>304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P1" s="479"/>
      <c r="Q1" s="480"/>
      <c r="R1" s="481"/>
      <c r="S1" s="482"/>
    </row>
    <row r="2" spans="1:19" s="478" customFormat="1" ht="15.75">
      <c r="A2" s="575" t="s">
        <v>332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P2" s="479"/>
      <c r="Q2" s="483"/>
      <c r="R2" s="484"/>
      <c r="S2" s="482"/>
    </row>
    <row r="3" spans="1:19" s="478" customFormat="1" ht="15.75">
      <c r="A3" s="571" t="str">
        <f>R4</f>
        <v>March 2017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P3" s="479"/>
      <c r="Q3" s="483"/>
      <c r="R3" s="484"/>
      <c r="S3" s="482"/>
    </row>
    <row r="4" spans="1:19" s="478" customFormat="1">
      <c r="A4" s="485"/>
      <c r="B4" s="472"/>
      <c r="C4" s="472"/>
      <c r="D4" s="472"/>
      <c r="E4" s="472"/>
      <c r="F4" s="472"/>
      <c r="G4" s="472"/>
      <c r="H4" s="486"/>
      <c r="I4" s="486"/>
      <c r="J4" s="486"/>
      <c r="K4" s="453"/>
      <c r="L4" s="453"/>
      <c r="M4" s="453"/>
      <c r="N4" s="453"/>
      <c r="P4" s="479"/>
      <c r="Q4" s="483" t="s">
        <v>408</v>
      </c>
      <c r="R4" s="484" t="str">
        <f>TEXT(S4,"mmmm yyyy")</f>
        <v>March 2017</v>
      </c>
      <c r="S4" s="460">
        <v>42825</v>
      </c>
    </row>
    <row r="5" spans="1:19" ht="15.75">
      <c r="A5" s="126"/>
      <c r="B5" s="109"/>
      <c r="C5" s="109"/>
      <c r="D5" s="109"/>
      <c r="E5" s="109"/>
      <c r="F5" s="109"/>
      <c r="G5" s="109"/>
      <c r="H5" s="128"/>
      <c r="I5" s="128"/>
      <c r="J5" s="128"/>
      <c r="K5" s="109"/>
      <c r="L5" s="109"/>
      <c r="M5" s="109"/>
      <c r="N5" s="109"/>
      <c r="Q5" s="483" t="s">
        <v>415</v>
      </c>
      <c r="R5" s="484" t="str">
        <f>S5</f>
        <v>.</v>
      </c>
      <c r="S5" s="456" t="s">
        <v>410</v>
      </c>
    </row>
    <row r="6" spans="1:19" ht="15.75">
      <c r="A6" s="126"/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 t="str">
        <f>"FY "&amp;$R$6&amp;" YTD"</f>
        <v>FY 2017 YTD</v>
      </c>
      <c r="Q6" s="483" t="s">
        <v>411</v>
      </c>
      <c r="R6" s="484" t="str">
        <f>S6</f>
        <v>2017</v>
      </c>
      <c r="S6" s="456" t="s">
        <v>412</v>
      </c>
    </row>
    <row r="7" spans="1:19" s="491" customFormat="1" ht="16.5" thickBot="1">
      <c r="A7" s="127"/>
      <c r="B7" s="463" t="str">
        <f>"9/1/2"&amp;$R$10</f>
        <v>9/1/2016</v>
      </c>
      <c r="C7" s="536" t="str">
        <f>"Oct 2"&amp;$R$10</f>
        <v>Oct 2016</v>
      </c>
      <c r="D7" s="536" t="str">
        <f>"Nov 2"&amp;$R$10</f>
        <v>Nov 2016</v>
      </c>
      <c r="E7" s="536" t="str">
        <f>"Dec 2"&amp;$R$10</f>
        <v>Dec 2016</v>
      </c>
      <c r="F7" s="536" t="str">
        <f>"Jan "&amp;$R$6</f>
        <v>Jan 2017</v>
      </c>
      <c r="G7" s="536" t="str">
        <f>"Feb "&amp;$R$6</f>
        <v>Feb 2017</v>
      </c>
      <c r="H7" s="536" t="str">
        <f>"Mar "&amp;$R$6</f>
        <v>Mar 2017</v>
      </c>
      <c r="I7" s="536" t="str">
        <f>"Apr "&amp;$R$6</f>
        <v>Apr 2017</v>
      </c>
      <c r="J7" s="536" t="str">
        <f>"May "&amp;$R$6</f>
        <v>May 2017</v>
      </c>
      <c r="K7" s="536" t="str">
        <f>"Jun "&amp;$R$6</f>
        <v>Jun 2017</v>
      </c>
      <c r="L7" s="536" t="str">
        <f>"Jul "&amp;$R$6</f>
        <v>Jul 2017</v>
      </c>
      <c r="M7" s="536" t="str">
        <f>"Aug "&amp;$R$6</f>
        <v>Aug 2017</v>
      </c>
      <c r="N7" s="536" t="str">
        <f>"as of "&amp;R8</f>
        <v>as of 03/31/17</v>
      </c>
      <c r="P7" s="490"/>
      <c r="Q7" s="492" t="s">
        <v>413</v>
      </c>
      <c r="R7" s="484" t="str">
        <f>TEXT(S7,"mmmm-dd-yyyy")</f>
        <v>March-31-2017</v>
      </c>
      <c r="S7" s="460">
        <f>S4</f>
        <v>42825</v>
      </c>
    </row>
    <row r="8" spans="1:19" ht="16.5" thickTop="1">
      <c r="A8" s="126"/>
      <c r="B8" s="109"/>
      <c r="C8" s="109"/>
      <c r="D8" s="109"/>
      <c r="E8" s="109"/>
      <c r="F8" s="109"/>
      <c r="G8" s="109"/>
      <c r="H8" s="128"/>
      <c r="I8" s="129"/>
      <c r="J8" s="129"/>
      <c r="K8" s="109"/>
      <c r="L8" s="109"/>
      <c r="M8" s="109"/>
      <c r="N8" s="109"/>
      <c r="Q8" s="492" t="s">
        <v>413</v>
      </c>
      <c r="R8" s="484" t="str">
        <f>TEXT(S8,"mm/dd/yy")</f>
        <v>03/31/17</v>
      </c>
      <c r="S8" s="460">
        <f>S4</f>
        <v>42825</v>
      </c>
    </row>
    <row r="9" spans="1:19" ht="16.5" thickBot="1">
      <c r="A9" s="543" t="s">
        <v>322</v>
      </c>
      <c r="B9" s="114">
        <v>0</v>
      </c>
      <c r="C9" s="115">
        <f>B9</f>
        <v>0</v>
      </c>
      <c r="D9" s="115">
        <f t="shared" ref="D9:M9" si="0">C9</f>
        <v>0</v>
      </c>
      <c r="E9" s="115">
        <f t="shared" si="0"/>
        <v>0</v>
      </c>
      <c r="F9" s="115">
        <f t="shared" si="0"/>
        <v>0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115">
        <f>B9</f>
        <v>0</v>
      </c>
      <c r="Q9" s="483" t="s">
        <v>411</v>
      </c>
      <c r="R9" s="484">
        <f>S9</f>
        <v>17</v>
      </c>
      <c r="S9" s="456">
        <v>17</v>
      </c>
    </row>
    <row r="10" spans="1:19" ht="15.75">
      <c r="A10" s="126"/>
      <c r="B10" s="109"/>
      <c r="C10" s="109"/>
      <c r="D10" s="109"/>
      <c r="E10" s="109"/>
      <c r="F10" s="109"/>
      <c r="G10" s="109"/>
      <c r="H10" s="128"/>
      <c r="I10" s="128"/>
      <c r="J10" s="128"/>
      <c r="K10" s="109"/>
      <c r="L10" s="109"/>
      <c r="M10" s="109"/>
      <c r="N10" s="109"/>
      <c r="Q10" s="531" t="s">
        <v>414</v>
      </c>
      <c r="R10" s="532" t="str">
        <f>"0"&amp;S10</f>
        <v>016</v>
      </c>
      <c r="S10" s="456">
        <v>16</v>
      </c>
    </row>
    <row r="11" spans="1:19" ht="15.75">
      <c r="A11" s="108" t="s">
        <v>301</v>
      </c>
      <c r="B11" s="109"/>
      <c r="C11" s="109"/>
      <c r="D11" s="109"/>
      <c r="E11" s="109"/>
      <c r="F11" s="109"/>
      <c r="G11" s="109"/>
      <c r="H11" s="128"/>
      <c r="I11" s="128"/>
      <c r="J11" s="128"/>
      <c r="K11" s="109"/>
      <c r="L11" s="109"/>
      <c r="M11" s="109"/>
      <c r="N11" s="109"/>
    </row>
    <row r="12" spans="1:19" ht="15.75">
      <c r="A12" s="126"/>
      <c r="B12" s="109"/>
      <c r="C12" s="109"/>
      <c r="D12" s="109"/>
      <c r="E12" s="109"/>
      <c r="F12" s="109"/>
      <c r="G12" s="109"/>
      <c r="H12" s="128"/>
      <c r="I12" s="128"/>
      <c r="J12" s="128"/>
      <c r="K12" s="109"/>
      <c r="L12" s="109"/>
      <c r="M12" s="109"/>
      <c r="N12" s="109"/>
    </row>
    <row r="13" spans="1:19" ht="15.75">
      <c r="A13" s="132" t="s">
        <v>325</v>
      </c>
      <c r="B13" s="124"/>
      <c r="C13" s="131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>
        <f t="shared" ref="N13:N18" si="1">ROUND(SUM(B13:M13),0)</f>
        <v>0</v>
      </c>
    </row>
    <row r="14" spans="1:19" ht="15.75">
      <c r="A14" s="126" t="s">
        <v>333</v>
      </c>
      <c r="B14" s="124"/>
      <c r="C14" s="131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>
        <f t="shared" si="1"/>
        <v>0</v>
      </c>
    </row>
    <row r="15" spans="1:19" ht="15.75">
      <c r="A15" s="126" t="s">
        <v>327</v>
      </c>
      <c r="B15" s="124"/>
      <c r="C15" s="131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>
        <f t="shared" si="1"/>
        <v>0</v>
      </c>
    </row>
    <row r="16" spans="1:19" s="495" customFormat="1" ht="15.75">
      <c r="A16" s="138" t="s">
        <v>334</v>
      </c>
      <c r="B16" s="139">
        <v>5229.87</v>
      </c>
      <c r="C16" s="140">
        <v>61847.009999999995</v>
      </c>
      <c r="D16" s="139">
        <v>55978.36</v>
      </c>
      <c r="E16" s="139">
        <v>54152.05</v>
      </c>
      <c r="F16" s="139">
        <v>54917.69</v>
      </c>
      <c r="G16" s="139">
        <v>51435.829999999994</v>
      </c>
      <c r="H16" s="139">
        <v>48964.46</v>
      </c>
      <c r="I16" s="139"/>
      <c r="J16" s="139"/>
      <c r="K16" s="139"/>
      <c r="L16" s="139"/>
      <c r="M16" s="139"/>
      <c r="N16" s="124">
        <f t="shared" si="1"/>
        <v>332525</v>
      </c>
      <c r="P16" s="496"/>
    </row>
    <row r="17" spans="1:14" ht="15.75">
      <c r="A17" s="132" t="s">
        <v>329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>
        <f t="shared" si="1"/>
        <v>0</v>
      </c>
    </row>
    <row r="18" spans="1:14" ht="15.75">
      <c r="A18" s="130" t="s">
        <v>330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>
        <f t="shared" si="1"/>
        <v>0</v>
      </c>
    </row>
    <row r="19" spans="1:14" ht="15.75">
      <c r="A19" s="126"/>
      <c r="B19" s="109"/>
      <c r="C19" s="109"/>
      <c r="D19" s="109"/>
      <c r="E19" s="109"/>
      <c r="F19" s="109"/>
      <c r="G19" s="109"/>
      <c r="H19" s="128"/>
      <c r="I19" s="128"/>
      <c r="J19" s="128"/>
      <c r="K19" s="109"/>
      <c r="L19" s="109"/>
      <c r="M19" s="109"/>
      <c r="N19" s="109"/>
    </row>
    <row r="20" spans="1:14" ht="15.75">
      <c r="A20" s="126"/>
      <c r="B20" s="109"/>
      <c r="C20" s="109"/>
      <c r="D20" s="109"/>
      <c r="E20" s="109"/>
      <c r="F20" s="109"/>
      <c r="G20" s="109"/>
      <c r="H20" s="128"/>
      <c r="I20" s="128"/>
      <c r="J20" s="128"/>
      <c r="K20" s="109"/>
      <c r="L20" s="109"/>
      <c r="M20" s="109"/>
      <c r="N20" s="109"/>
    </row>
    <row r="21" spans="1:14" ht="15.75">
      <c r="A21" s="110" t="s">
        <v>296</v>
      </c>
      <c r="B21" s="118">
        <f>ROUND((SUM(B13:B20)),0)</f>
        <v>5230</v>
      </c>
      <c r="C21" s="118">
        <f t="shared" ref="C21:M21" si="2">ROUND((SUM(C13:C20)),0)</f>
        <v>61847</v>
      </c>
      <c r="D21" s="118">
        <f t="shared" si="2"/>
        <v>55978</v>
      </c>
      <c r="E21" s="118">
        <f t="shared" si="2"/>
        <v>54152</v>
      </c>
      <c r="F21" s="118">
        <f t="shared" si="2"/>
        <v>54918</v>
      </c>
      <c r="G21" s="118">
        <f t="shared" si="2"/>
        <v>51436</v>
      </c>
      <c r="H21" s="118">
        <f t="shared" si="2"/>
        <v>48964</v>
      </c>
      <c r="I21" s="118">
        <f t="shared" si="2"/>
        <v>0</v>
      </c>
      <c r="J21" s="118">
        <f t="shared" si="2"/>
        <v>0</v>
      </c>
      <c r="K21" s="118">
        <f t="shared" si="2"/>
        <v>0</v>
      </c>
      <c r="L21" s="118">
        <f t="shared" si="2"/>
        <v>0</v>
      </c>
      <c r="M21" s="118">
        <f t="shared" si="2"/>
        <v>0</v>
      </c>
      <c r="N21" s="118">
        <f>ROUND((SUM(N13:N20)),0)</f>
        <v>332525</v>
      </c>
    </row>
    <row r="22" spans="1:14" ht="15.75">
      <c r="A22" s="126"/>
      <c r="B22" s="109"/>
      <c r="C22" s="109"/>
      <c r="D22" s="109"/>
      <c r="E22" s="109"/>
      <c r="F22" s="109"/>
      <c r="G22" s="109"/>
      <c r="H22" s="134"/>
      <c r="I22" s="134"/>
      <c r="J22" s="134"/>
      <c r="K22" s="109"/>
      <c r="L22" s="109"/>
      <c r="M22" s="109"/>
      <c r="N22" s="109"/>
    </row>
    <row r="23" spans="1:14" ht="15.75">
      <c r="A23" s="108" t="s">
        <v>295</v>
      </c>
      <c r="B23" s="109"/>
      <c r="C23" s="109"/>
      <c r="D23" s="109"/>
      <c r="E23" s="109"/>
      <c r="F23" s="109"/>
      <c r="G23" s="109"/>
      <c r="H23" s="134"/>
      <c r="I23" s="134"/>
      <c r="J23" s="134"/>
      <c r="K23" s="109"/>
      <c r="L23" s="109"/>
      <c r="M23" s="109"/>
      <c r="N23" s="109"/>
    </row>
    <row r="24" spans="1:14" ht="15.75">
      <c r="A24" s="135"/>
      <c r="B24" s="109"/>
      <c r="C24" s="109"/>
      <c r="D24" s="109"/>
      <c r="E24" s="109"/>
      <c r="F24" s="109"/>
      <c r="G24" s="109"/>
      <c r="H24" s="134"/>
      <c r="I24" s="134"/>
      <c r="J24" s="134"/>
      <c r="K24" s="109"/>
      <c r="L24" s="109"/>
      <c r="M24" s="109"/>
      <c r="N24" s="109"/>
    </row>
    <row r="25" spans="1:14" ht="15.75">
      <c r="A25" s="123" t="s">
        <v>335</v>
      </c>
      <c r="B25" s="109">
        <f>ROUND(-B21,0)</f>
        <v>-5230</v>
      </c>
      <c r="C25" s="109">
        <f t="shared" ref="C25:H25" si="3">ROUND(-C21,0)</f>
        <v>-61847</v>
      </c>
      <c r="D25" s="109">
        <f t="shared" si="3"/>
        <v>-55978</v>
      </c>
      <c r="E25" s="109">
        <f t="shared" si="3"/>
        <v>-54152</v>
      </c>
      <c r="F25" s="109">
        <f t="shared" si="3"/>
        <v>-54918</v>
      </c>
      <c r="G25" s="109">
        <f t="shared" si="3"/>
        <v>-51436</v>
      </c>
      <c r="H25" s="109">
        <f t="shared" si="3"/>
        <v>-48964</v>
      </c>
      <c r="I25" s="134"/>
      <c r="J25" s="134"/>
      <c r="K25" s="109"/>
      <c r="L25" s="109"/>
      <c r="M25" s="109"/>
      <c r="N25" s="109">
        <f>ROUND(SUM(B25:M25),0)</f>
        <v>-332525</v>
      </c>
    </row>
    <row r="26" spans="1:14" ht="15.75">
      <c r="A26" s="135"/>
      <c r="B26" s="109"/>
      <c r="C26" s="109"/>
      <c r="D26" s="109"/>
      <c r="E26" s="109"/>
      <c r="F26" s="109"/>
      <c r="G26" s="109"/>
      <c r="H26" s="134"/>
      <c r="I26" s="134"/>
      <c r="J26" s="134"/>
      <c r="K26" s="109"/>
      <c r="L26" s="109"/>
      <c r="M26" s="109"/>
      <c r="N26" s="109"/>
    </row>
    <row r="27" spans="1:14" ht="15.75">
      <c r="A27" s="135"/>
      <c r="B27" s="109"/>
      <c r="C27" s="109"/>
      <c r="D27" s="109"/>
      <c r="E27" s="109"/>
      <c r="F27" s="109"/>
      <c r="G27" s="109"/>
      <c r="H27" s="134"/>
      <c r="I27" s="134"/>
      <c r="J27" s="134"/>
      <c r="K27" s="109"/>
      <c r="L27" s="109"/>
      <c r="M27" s="109"/>
      <c r="N27" s="109"/>
    </row>
    <row r="28" spans="1:14" ht="15.75">
      <c r="A28" s="108" t="s">
        <v>293</v>
      </c>
      <c r="B28" s="118">
        <f>ROUND(SUM(B24:B27),0)</f>
        <v>-5230</v>
      </c>
      <c r="C28" s="118">
        <f t="shared" ref="C28:F28" si="4">ROUND(SUM(C24:C27),0)</f>
        <v>-61847</v>
      </c>
      <c r="D28" s="118">
        <f t="shared" si="4"/>
        <v>-55978</v>
      </c>
      <c r="E28" s="118">
        <f t="shared" si="4"/>
        <v>-54152</v>
      </c>
      <c r="F28" s="118">
        <f t="shared" si="4"/>
        <v>-54918</v>
      </c>
      <c r="G28" s="118">
        <f t="shared" ref="G28:M28" si="5">SUM(G24:G27)</f>
        <v>-51436</v>
      </c>
      <c r="H28" s="118">
        <f t="shared" si="5"/>
        <v>-48964</v>
      </c>
      <c r="I28" s="118">
        <f t="shared" si="5"/>
        <v>0</v>
      </c>
      <c r="J28" s="118">
        <f t="shared" si="5"/>
        <v>0</v>
      </c>
      <c r="K28" s="118">
        <f t="shared" si="5"/>
        <v>0</v>
      </c>
      <c r="L28" s="118">
        <f t="shared" si="5"/>
        <v>0</v>
      </c>
      <c r="M28" s="118">
        <f t="shared" si="5"/>
        <v>0</v>
      </c>
      <c r="N28" s="118">
        <f>SUM(N24:N27)</f>
        <v>-332525</v>
      </c>
    </row>
    <row r="29" spans="1:14" ht="15.75">
      <c r="A29" s="126"/>
      <c r="B29" s="109"/>
      <c r="C29" s="109"/>
      <c r="D29" s="109"/>
      <c r="E29" s="109"/>
      <c r="F29" s="109"/>
      <c r="G29" s="109"/>
      <c r="H29" s="134"/>
      <c r="I29" s="134"/>
      <c r="J29" s="134"/>
      <c r="K29" s="109"/>
      <c r="L29" s="109"/>
      <c r="M29" s="109"/>
      <c r="N29" s="109"/>
    </row>
    <row r="30" spans="1:14" ht="16.5" thickBot="1">
      <c r="A30" s="544" t="s">
        <v>292</v>
      </c>
      <c r="B30" s="121">
        <f>ROUND(+B9+B21+B28,0)</f>
        <v>0</v>
      </c>
      <c r="C30" s="121">
        <f t="shared" ref="C30:M30" si="6">ROUND(+C9+C21+C28,0)</f>
        <v>0</v>
      </c>
      <c r="D30" s="121">
        <f t="shared" si="6"/>
        <v>0</v>
      </c>
      <c r="E30" s="121">
        <f t="shared" si="6"/>
        <v>0</v>
      </c>
      <c r="F30" s="121">
        <f t="shared" si="6"/>
        <v>0</v>
      </c>
      <c r="G30" s="121">
        <f t="shared" si="6"/>
        <v>0</v>
      </c>
      <c r="H30" s="121">
        <f t="shared" si="6"/>
        <v>0</v>
      </c>
      <c r="I30" s="121">
        <f t="shared" si="6"/>
        <v>0</v>
      </c>
      <c r="J30" s="121">
        <f t="shared" si="6"/>
        <v>0</v>
      </c>
      <c r="K30" s="121">
        <f t="shared" si="6"/>
        <v>0</v>
      </c>
      <c r="L30" s="121">
        <f t="shared" si="6"/>
        <v>0</v>
      </c>
      <c r="M30" s="121">
        <f t="shared" si="6"/>
        <v>0</v>
      </c>
      <c r="N30" s="121">
        <f>ROUND(+N9+N21+N28,0)</f>
        <v>0</v>
      </c>
    </row>
    <row r="31" spans="1:14" ht="16.5" thickTop="1">
      <c r="A31" s="136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ht="15.75">
      <c r="A32" s="136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15.75">
      <c r="A33" s="102" t="s">
        <v>336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5.75">
      <c r="A34" s="136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15.75">
      <c r="A35" s="136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.75">
      <c r="A36" s="136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5.75">
      <c r="A37" s="136"/>
      <c r="B37" s="102"/>
      <c r="C37" s="137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5.75">
      <c r="A38" s="136"/>
      <c r="B38" s="102"/>
      <c r="C38" s="137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.75">
      <c r="A39" s="136"/>
      <c r="B39" s="102"/>
      <c r="C39" s="137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>
      <c r="C40" s="494"/>
    </row>
    <row r="41" spans="1:14">
      <c r="C41" s="494"/>
    </row>
    <row r="42" spans="1:14">
      <c r="C42" s="494"/>
    </row>
    <row r="43" spans="1:14">
      <c r="C43" s="494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W30"/>
  <sheetViews>
    <sheetView zoomScale="85" zoomScaleNormal="85" zoomScaleSheetLayoutView="85" workbookViewId="0">
      <selection activeCell="H23" sqref="H23"/>
    </sheetView>
  </sheetViews>
  <sheetFormatPr defaultRowHeight="12.75"/>
  <cols>
    <col min="1" max="1" width="50.5703125" style="504" bestFit="1" customWidth="1"/>
    <col min="2" max="2" width="11.28515625" style="474" hidden="1" customWidth="1"/>
    <col min="3" max="3" width="11.85546875" style="474" hidden="1" customWidth="1"/>
    <col min="4" max="5" width="12.140625" style="474" hidden="1" customWidth="1"/>
    <col min="6" max="7" width="11.85546875" style="474" hidden="1" customWidth="1"/>
    <col min="8" max="8" width="12.42578125" style="474" customWidth="1"/>
    <col min="9" max="9" width="12.140625" style="474" hidden="1" customWidth="1"/>
    <col min="10" max="10" width="12.5703125" style="474" hidden="1" customWidth="1"/>
    <col min="11" max="11" width="12.140625" style="474" hidden="1" customWidth="1"/>
    <col min="12" max="12" width="11.42578125" style="474" hidden="1" customWidth="1"/>
    <col min="13" max="13" width="12.42578125" style="474" hidden="1" customWidth="1"/>
    <col min="14" max="14" width="17" style="474" bestFit="1" customWidth="1"/>
    <col min="15" max="15" width="22" style="504" customWidth="1"/>
    <col min="16" max="16" width="22" style="504" hidden="1" customWidth="1"/>
    <col min="17" max="17" width="17.85546875" style="504" hidden="1" customWidth="1"/>
    <col min="18" max="18" width="15.28515625" style="504" hidden="1" customWidth="1"/>
    <col min="19" max="19" width="10.28515625" style="504" hidden="1" customWidth="1"/>
    <col min="20" max="21" width="22" style="504" hidden="1" customWidth="1"/>
    <col min="22" max="23" width="12.5703125" style="504" hidden="1" customWidth="1"/>
    <col min="24" max="24" width="0" style="504" hidden="1" customWidth="1"/>
    <col min="25" max="256" width="9.140625" style="504"/>
    <col min="257" max="257" width="45.7109375" style="504" bestFit="1" customWidth="1"/>
    <col min="258" max="258" width="9.5703125" style="504" bestFit="1" customWidth="1"/>
    <col min="259" max="269" width="0" style="504" hidden="1" customWidth="1"/>
    <col min="270" max="270" width="17.28515625" style="504" customWidth="1"/>
    <col min="271" max="279" width="0" style="504" hidden="1" customWidth="1"/>
    <col min="280" max="512" width="9.140625" style="504"/>
    <col min="513" max="513" width="45.7109375" style="504" bestFit="1" customWidth="1"/>
    <col min="514" max="514" width="9.5703125" style="504" bestFit="1" customWidth="1"/>
    <col min="515" max="525" width="0" style="504" hidden="1" customWidth="1"/>
    <col min="526" max="526" width="17.28515625" style="504" customWidth="1"/>
    <col min="527" max="535" width="0" style="504" hidden="1" customWidth="1"/>
    <col min="536" max="768" width="9.140625" style="504"/>
    <col min="769" max="769" width="45.7109375" style="504" bestFit="1" customWidth="1"/>
    <col min="770" max="770" width="9.5703125" style="504" bestFit="1" customWidth="1"/>
    <col min="771" max="781" width="0" style="504" hidden="1" customWidth="1"/>
    <col min="782" max="782" width="17.28515625" style="504" customWidth="1"/>
    <col min="783" max="791" width="0" style="504" hidden="1" customWidth="1"/>
    <col min="792" max="1024" width="9.140625" style="504"/>
    <col min="1025" max="1025" width="45.7109375" style="504" bestFit="1" customWidth="1"/>
    <col min="1026" max="1026" width="9.5703125" style="504" bestFit="1" customWidth="1"/>
    <col min="1027" max="1037" width="0" style="504" hidden="1" customWidth="1"/>
    <col min="1038" max="1038" width="17.28515625" style="504" customWidth="1"/>
    <col min="1039" max="1047" width="0" style="504" hidden="1" customWidth="1"/>
    <col min="1048" max="1280" width="9.140625" style="504"/>
    <col min="1281" max="1281" width="45.7109375" style="504" bestFit="1" customWidth="1"/>
    <col min="1282" max="1282" width="9.5703125" style="504" bestFit="1" customWidth="1"/>
    <col min="1283" max="1293" width="0" style="504" hidden="1" customWidth="1"/>
    <col min="1294" max="1294" width="17.28515625" style="504" customWidth="1"/>
    <col min="1295" max="1303" width="0" style="504" hidden="1" customWidth="1"/>
    <col min="1304" max="1536" width="9.140625" style="504"/>
    <col min="1537" max="1537" width="45.7109375" style="504" bestFit="1" customWidth="1"/>
    <col min="1538" max="1538" width="9.5703125" style="504" bestFit="1" customWidth="1"/>
    <col min="1539" max="1549" width="0" style="504" hidden="1" customWidth="1"/>
    <col min="1550" max="1550" width="17.28515625" style="504" customWidth="1"/>
    <col min="1551" max="1559" width="0" style="504" hidden="1" customWidth="1"/>
    <col min="1560" max="1792" width="9.140625" style="504"/>
    <col min="1793" max="1793" width="45.7109375" style="504" bestFit="1" customWidth="1"/>
    <col min="1794" max="1794" width="9.5703125" style="504" bestFit="1" customWidth="1"/>
    <col min="1795" max="1805" width="0" style="504" hidden="1" customWidth="1"/>
    <col min="1806" max="1806" width="17.28515625" style="504" customWidth="1"/>
    <col min="1807" max="1815" width="0" style="504" hidden="1" customWidth="1"/>
    <col min="1816" max="2048" width="9.140625" style="504"/>
    <col min="2049" max="2049" width="45.7109375" style="504" bestFit="1" customWidth="1"/>
    <col min="2050" max="2050" width="9.5703125" style="504" bestFit="1" customWidth="1"/>
    <col min="2051" max="2061" width="0" style="504" hidden="1" customWidth="1"/>
    <col min="2062" max="2062" width="17.28515625" style="504" customWidth="1"/>
    <col min="2063" max="2071" width="0" style="504" hidden="1" customWidth="1"/>
    <col min="2072" max="2304" width="9.140625" style="504"/>
    <col min="2305" max="2305" width="45.7109375" style="504" bestFit="1" customWidth="1"/>
    <col min="2306" max="2306" width="9.5703125" style="504" bestFit="1" customWidth="1"/>
    <col min="2307" max="2317" width="0" style="504" hidden="1" customWidth="1"/>
    <col min="2318" max="2318" width="17.28515625" style="504" customWidth="1"/>
    <col min="2319" max="2327" width="0" style="504" hidden="1" customWidth="1"/>
    <col min="2328" max="2560" width="9.140625" style="504"/>
    <col min="2561" max="2561" width="45.7109375" style="504" bestFit="1" customWidth="1"/>
    <col min="2562" max="2562" width="9.5703125" style="504" bestFit="1" customWidth="1"/>
    <col min="2563" max="2573" width="0" style="504" hidden="1" customWidth="1"/>
    <col min="2574" max="2574" width="17.28515625" style="504" customWidth="1"/>
    <col min="2575" max="2583" width="0" style="504" hidden="1" customWidth="1"/>
    <col min="2584" max="2816" width="9.140625" style="504"/>
    <col min="2817" max="2817" width="45.7109375" style="504" bestFit="1" customWidth="1"/>
    <col min="2818" max="2818" width="9.5703125" style="504" bestFit="1" customWidth="1"/>
    <col min="2819" max="2829" width="0" style="504" hidden="1" customWidth="1"/>
    <col min="2830" max="2830" width="17.28515625" style="504" customWidth="1"/>
    <col min="2831" max="2839" width="0" style="504" hidden="1" customWidth="1"/>
    <col min="2840" max="3072" width="9.140625" style="504"/>
    <col min="3073" max="3073" width="45.7109375" style="504" bestFit="1" customWidth="1"/>
    <col min="3074" max="3074" width="9.5703125" style="504" bestFit="1" customWidth="1"/>
    <col min="3075" max="3085" width="0" style="504" hidden="1" customWidth="1"/>
    <col min="3086" max="3086" width="17.28515625" style="504" customWidth="1"/>
    <col min="3087" max="3095" width="0" style="504" hidden="1" customWidth="1"/>
    <col min="3096" max="3328" width="9.140625" style="504"/>
    <col min="3329" max="3329" width="45.7109375" style="504" bestFit="1" customWidth="1"/>
    <col min="3330" max="3330" width="9.5703125" style="504" bestFit="1" customWidth="1"/>
    <col min="3331" max="3341" width="0" style="504" hidden="1" customWidth="1"/>
    <col min="3342" max="3342" width="17.28515625" style="504" customWidth="1"/>
    <col min="3343" max="3351" width="0" style="504" hidden="1" customWidth="1"/>
    <col min="3352" max="3584" width="9.140625" style="504"/>
    <col min="3585" max="3585" width="45.7109375" style="504" bestFit="1" customWidth="1"/>
    <col min="3586" max="3586" width="9.5703125" style="504" bestFit="1" customWidth="1"/>
    <col min="3587" max="3597" width="0" style="504" hidden="1" customWidth="1"/>
    <col min="3598" max="3598" width="17.28515625" style="504" customWidth="1"/>
    <col min="3599" max="3607" width="0" style="504" hidden="1" customWidth="1"/>
    <col min="3608" max="3840" width="9.140625" style="504"/>
    <col min="3841" max="3841" width="45.7109375" style="504" bestFit="1" customWidth="1"/>
    <col min="3842" max="3842" width="9.5703125" style="504" bestFit="1" customWidth="1"/>
    <col min="3843" max="3853" width="0" style="504" hidden="1" customWidth="1"/>
    <col min="3854" max="3854" width="17.28515625" style="504" customWidth="1"/>
    <col min="3855" max="3863" width="0" style="504" hidden="1" customWidth="1"/>
    <col min="3864" max="4096" width="9.140625" style="504"/>
    <col min="4097" max="4097" width="45.7109375" style="504" bestFit="1" customWidth="1"/>
    <col min="4098" max="4098" width="9.5703125" style="504" bestFit="1" customWidth="1"/>
    <col min="4099" max="4109" width="0" style="504" hidden="1" customWidth="1"/>
    <col min="4110" max="4110" width="17.28515625" style="504" customWidth="1"/>
    <col min="4111" max="4119" width="0" style="504" hidden="1" customWidth="1"/>
    <col min="4120" max="4352" width="9.140625" style="504"/>
    <col min="4353" max="4353" width="45.7109375" style="504" bestFit="1" customWidth="1"/>
    <col min="4354" max="4354" width="9.5703125" style="504" bestFit="1" customWidth="1"/>
    <col min="4355" max="4365" width="0" style="504" hidden="1" customWidth="1"/>
    <col min="4366" max="4366" width="17.28515625" style="504" customWidth="1"/>
    <col min="4367" max="4375" width="0" style="504" hidden="1" customWidth="1"/>
    <col min="4376" max="4608" width="9.140625" style="504"/>
    <col min="4609" max="4609" width="45.7109375" style="504" bestFit="1" customWidth="1"/>
    <col min="4610" max="4610" width="9.5703125" style="504" bestFit="1" customWidth="1"/>
    <col min="4611" max="4621" width="0" style="504" hidden="1" customWidth="1"/>
    <col min="4622" max="4622" width="17.28515625" style="504" customWidth="1"/>
    <col min="4623" max="4631" width="0" style="504" hidden="1" customWidth="1"/>
    <col min="4632" max="4864" width="9.140625" style="504"/>
    <col min="4865" max="4865" width="45.7109375" style="504" bestFit="1" customWidth="1"/>
    <col min="4866" max="4866" width="9.5703125" style="504" bestFit="1" customWidth="1"/>
    <col min="4867" max="4877" width="0" style="504" hidden="1" customWidth="1"/>
    <col min="4878" max="4878" width="17.28515625" style="504" customWidth="1"/>
    <col min="4879" max="4887" width="0" style="504" hidden="1" customWidth="1"/>
    <col min="4888" max="5120" width="9.140625" style="504"/>
    <col min="5121" max="5121" width="45.7109375" style="504" bestFit="1" customWidth="1"/>
    <col min="5122" max="5122" width="9.5703125" style="504" bestFit="1" customWidth="1"/>
    <col min="5123" max="5133" width="0" style="504" hidden="1" customWidth="1"/>
    <col min="5134" max="5134" width="17.28515625" style="504" customWidth="1"/>
    <col min="5135" max="5143" width="0" style="504" hidden="1" customWidth="1"/>
    <col min="5144" max="5376" width="9.140625" style="504"/>
    <col min="5377" max="5377" width="45.7109375" style="504" bestFit="1" customWidth="1"/>
    <col min="5378" max="5378" width="9.5703125" style="504" bestFit="1" customWidth="1"/>
    <col min="5379" max="5389" width="0" style="504" hidden="1" customWidth="1"/>
    <col min="5390" max="5390" width="17.28515625" style="504" customWidth="1"/>
    <col min="5391" max="5399" width="0" style="504" hidden="1" customWidth="1"/>
    <col min="5400" max="5632" width="9.140625" style="504"/>
    <col min="5633" max="5633" width="45.7109375" style="504" bestFit="1" customWidth="1"/>
    <col min="5634" max="5634" width="9.5703125" style="504" bestFit="1" customWidth="1"/>
    <col min="5635" max="5645" width="0" style="504" hidden="1" customWidth="1"/>
    <col min="5646" max="5646" width="17.28515625" style="504" customWidth="1"/>
    <col min="5647" max="5655" width="0" style="504" hidden="1" customWidth="1"/>
    <col min="5656" max="5888" width="9.140625" style="504"/>
    <col min="5889" max="5889" width="45.7109375" style="504" bestFit="1" customWidth="1"/>
    <col min="5890" max="5890" width="9.5703125" style="504" bestFit="1" customWidth="1"/>
    <col min="5891" max="5901" width="0" style="504" hidden="1" customWidth="1"/>
    <col min="5902" max="5902" width="17.28515625" style="504" customWidth="1"/>
    <col min="5903" max="5911" width="0" style="504" hidden="1" customWidth="1"/>
    <col min="5912" max="6144" width="9.140625" style="504"/>
    <col min="6145" max="6145" width="45.7109375" style="504" bestFit="1" customWidth="1"/>
    <col min="6146" max="6146" width="9.5703125" style="504" bestFit="1" customWidth="1"/>
    <col min="6147" max="6157" width="0" style="504" hidden="1" customWidth="1"/>
    <col min="6158" max="6158" width="17.28515625" style="504" customWidth="1"/>
    <col min="6159" max="6167" width="0" style="504" hidden="1" customWidth="1"/>
    <col min="6168" max="6400" width="9.140625" style="504"/>
    <col min="6401" max="6401" width="45.7109375" style="504" bestFit="1" customWidth="1"/>
    <col min="6402" max="6402" width="9.5703125" style="504" bestFit="1" customWidth="1"/>
    <col min="6403" max="6413" width="0" style="504" hidden="1" customWidth="1"/>
    <col min="6414" max="6414" width="17.28515625" style="504" customWidth="1"/>
    <col min="6415" max="6423" width="0" style="504" hidden="1" customWidth="1"/>
    <col min="6424" max="6656" width="9.140625" style="504"/>
    <col min="6657" max="6657" width="45.7109375" style="504" bestFit="1" customWidth="1"/>
    <col min="6658" max="6658" width="9.5703125" style="504" bestFit="1" customWidth="1"/>
    <col min="6659" max="6669" width="0" style="504" hidden="1" customWidth="1"/>
    <col min="6670" max="6670" width="17.28515625" style="504" customWidth="1"/>
    <col min="6671" max="6679" width="0" style="504" hidden="1" customWidth="1"/>
    <col min="6680" max="6912" width="9.140625" style="504"/>
    <col min="6913" max="6913" width="45.7109375" style="504" bestFit="1" customWidth="1"/>
    <col min="6914" max="6914" width="9.5703125" style="504" bestFit="1" customWidth="1"/>
    <col min="6915" max="6925" width="0" style="504" hidden="1" customWidth="1"/>
    <col min="6926" max="6926" width="17.28515625" style="504" customWidth="1"/>
    <col min="6927" max="6935" width="0" style="504" hidden="1" customWidth="1"/>
    <col min="6936" max="7168" width="9.140625" style="504"/>
    <col min="7169" max="7169" width="45.7109375" style="504" bestFit="1" customWidth="1"/>
    <col min="7170" max="7170" width="9.5703125" style="504" bestFit="1" customWidth="1"/>
    <col min="7171" max="7181" width="0" style="504" hidden="1" customWidth="1"/>
    <col min="7182" max="7182" width="17.28515625" style="504" customWidth="1"/>
    <col min="7183" max="7191" width="0" style="504" hidden="1" customWidth="1"/>
    <col min="7192" max="7424" width="9.140625" style="504"/>
    <col min="7425" max="7425" width="45.7109375" style="504" bestFit="1" customWidth="1"/>
    <col min="7426" max="7426" width="9.5703125" style="504" bestFit="1" customWidth="1"/>
    <col min="7427" max="7437" width="0" style="504" hidden="1" customWidth="1"/>
    <col min="7438" max="7438" width="17.28515625" style="504" customWidth="1"/>
    <col min="7439" max="7447" width="0" style="504" hidden="1" customWidth="1"/>
    <col min="7448" max="7680" width="9.140625" style="504"/>
    <col min="7681" max="7681" width="45.7109375" style="504" bestFit="1" customWidth="1"/>
    <col min="7682" max="7682" width="9.5703125" style="504" bestFit="1" customWidth="1"/>
    <col min="7683" max="7693" width="0" style="504" hidden="1" customWidth="1"/>
    <col min="7694" max="7694" width="17.28515625" style="504" customWidth="1"/>
    <col min="7695" max="7703" width="0" style="504" hidden="1" customWidth="1"/>
    <col min="7704" max="7936" width="9.140625" style="504"/>
    <col min="7937" max="7937" width="45.7109375" style="504" bestFit="1" customWidth="1"/>
    <col min="7938" max="7938" width="9.5703125" style="504" bestFit="1" customWidth="1"/>
    <col min="7939" max="7949" width="0" style="504" hidden="1" customWidth="1"/>
    <col min="7950" max="7950" width="17.28515625" style="504" customWidth="1"/>
    <col min="7951" max="7959" width="0" style="504" hidden="1" customWidth="1"/>
    <col min="7960" max="8192" width="9.140625" style="504"/>
    <col min="8193" max="8193" width="45.7109375" style="504" bestFit="1" customWidth="1"/>
    <col min="8194" max="8194" width="9.5703125" style="504" bestFit="1" customWidth="1"/>
    <col min="8195" max="8205" width="0" style="504" hidden="1" customWidth="1"/>
    <col min="8206" max="8206" width="17.28515625" style="504" customWidth="1"/>
    <col min="8207" max="8215" width="0" style="504" hidden="1" customWidth="1"/>
    <col min="8216" max="8448" width="9.140625" style="504"/>
    <col min="8449" max="8449" width="45.7109375" style="504" bestFit="1" customWidth="1"/>
    <col min="8450" max="8450" width="9.5703125" style="504" bestFit="1" customWidth="1"/>
    <col min="8451" max="8461" width="0" style="504" hidden="1" customWidth="1"/>
    <col min="8462" max="8462" width="17.28515625" style="504" customWidth="1"/>
    <col min="8463" max="8471" width="0" style="504" hidden="1" customWidth="1"/>
    <col min="8472" max="8704" width="9.140625" style="504"/>
    <col min="8705" max="8705" width="45.7109375" style="504" bestFit="1" customWidth="1"/>
    <col min="8706" max="8706" width="9.5703125" style="504" bestFit="1" customWidth="1"/>
    <col min="8707" max="8717" width="0" style="504" hidden="1" customWidth="1"/>
    <col min="8718" max="8718" width="17.28515625" style="504" customWidth="1"/>
    <col min="8719" max="8727" width="0" style="504" hidden="1" customWidth="1"/>
    <col min="8728" max="8960" width="9.140625" style="504"/>
    <col min="8961" max="8961" width="45.7109375" style="504" bestFit="1" customWidth="1"/>
    <col min="8962" max="8962" width="9.5703125" style="504" bestFit="1" customWidth="1"/>
    <col min="8963" max="8973" width="0" style="504" hidden="1" customWidth="1"/>
    <col min="8974" max="8974" width="17.28515625" style="504" customWidth="1"/>
    <col min="8975" max="8983" width="0" style="504" hidden="1" customWidth="1"/>
    <col min="8984" max="9216" width="9.140625" style="504"/>
    <col min="9217" max="9217" width="45.7109375" style="504" bestFit="1" customWidth="1"/>
    <col min="9218" max="9218" width="9.5703125" style="504" bestFit="1" customWidth="1"/>
    <col min="9219" max="9229" width="0" style="504" hidden="1" customWidth="1"/>
    <col min="9230" max="9230" width="17.28515625" style="504" customWidth="1"/>
    <col min="9231" max="9239" width="0" style="504" hidden="1" customWidth="1"/>
    <col min="9240" max="9472" width="9.140625" style="504"/>
    <col min="9473" max="9473" width="45.7109375" style="504" bestFit="1" customWidth="1"/>
    <col min="9474" max="9474" width="9.5703125" style="504" bestFit="1" customWidth="1"/>
    <col min="9475" max="9485" width="0" style="504" hidden="1" customWidth="1"/>
    <col min="9486" max="9486" width="17.28515625" style="504" customWidth="1"/>
    <col min="9487" max="9495" width="0" style="504" hidden="1" customWidth="1"/>
    <col min="9496" max="9728" width="9.140625" style="504"/>
    <col min="9729" max="9729" width="45.7109375" style="504" bestFit="1" customWidth="1"/>
    <col min="9730" max="9730" width="9.5703125" style="504" bestFit="1" customWidth="1"/>
    <col min="9731" max="9741" width="0" style="504" hidden="1" customWidth="1"/>
    <col min="9742" max="9742" width="17.28515625" style="504" customWidth="1"/>
    <col min="9743" max="9751" width="0" style="504" hidden="1" customWidth="1"/>
    <col min="9752" max="9984" width="9.140625" style="504"/>
    <col min="9985" max="9985" width="45.7109375" style="504" bestFit="1" customWidth="1"/>
    <col min="9986" max="9986" width="9.5703125" style="504" bestFit="1" customWidth="1"/>
    <col min="9987" max="9997" width="0" style="504" hidden="1" customWidth="1"/>
    <col min="9998" max="9998" width="17.28515625" style="504" customWidth="1"/>
    <col min="9999" max="10007" width="0" style="504" hidden="1" customWidth="1"/>
    <col min="10008" max="10240" width="9.140625" style="504"/>
    <col min="10241" max="10241" width="45.7109375" style="504" bestFit="1" customWidth="1"/>
    <col min="10242" max="10242" width="9.5703125" style="504" bestFit="1" customWidth="1"/>
    <col min="10243" max="10253" width="0" style="504" hidden="1" customWidth="1"/>
    <col min="10254" max="10254" width="17.28515625" style="504" customWidth="1"/>
    <col min="10255" max="10263" width="0" style="504" hidden="1" customWidth="1"/>
    <col min="10264" max="10496" width="9.140625" style="504"/>
    <col min="10497" max="10497" width="45.7109375" style="504" bestFit="1" customWidth="1"/>
    <col min="10498" max="10498" width="9.5703125" style="504" bestFit="1" customWidth="1"/>
    <col min="10499" max="10509" width="0" style="504" hidden="1" customWidth="1"/>
    <col min="10510" max="10510" width="17.28515625" style="504" customWidth="1"/>
    <col min="10511" max="10519" width="0" style="504" hidden="1" customWidth="1"/>
    <col min="10520" max="10752" width="9.140625" style="504"/>
    <col min="10753" max="10753" width="45.7109375" style="504" bestFit="1" customWidth="1"/>
    <col min="10754" max="10754" width="9.5703125" style="504" bestFit="1" customWidth="1"/>
    <col min="10755" max="10765" width="0" style="504" hidden="1" customWidth="1"/>
    <col min="10766" max="10766" width="17.28515625" style="504" customWidth="1"/>
    <col min="10767" max="10775" width="0" style="504" hidden="1" customWidth="1"/>
    <col min="10776" max="11008" width="9.140625" style="504"/>
    <col min="11009" max="11009" width="45.7109375" style="504" bestFit="1" customWidth="1"/>
    <col min="11010" max="11010" width="9.5703125" style="504" bestFit="1" customWidth="1"/>
    <col min="11011" max="11021" width="0" style="504" hidden="1" customWidth="1"/>
    <col min="11022" max="11022" width="17.28515625" style="504" customWidth="1"/>
    <col min="11023" max="11031" width="0" style="504" hidden="1" customWidth="1"/>
    <col min="11032" max="11264" width="9.140625" style="504"/>
    <col min="11265" max="11265" width="45.7109375" style="504" bestFit="1" customWidth="1"/>
    <col min="11266" max="11266" width="9.5703125" style="504" bestFit="1" customWidth="1"/>
    <col min="11267" max="11277" width="0" style="504" hidden="1" customWidth="1"/>
    <col min="11278" max="11278" width="17.28515625" style="504" customWidth="1"/>
    <col min="11279" max="11287" width="0" style="504" hidden="1" customWidth="1"/>
    <col min="11288" max="11520" width="9.140625" style="504"/>
    <col min="11521" max="11521" width="45.7109375" style="504" bestFit="1" customWidth="1"/>
    <col min="11522" max="11522" width="9.5703125" style="504" bestFit="1" customWidth="1"/>
    <col min="11523" max="11533" width="0" style="504" hidden="1" customWidth="1"/>
    <col min="11534" max="11534" width="17.28515625" style="504" customWidth="1"/>
    <col min="11535" max="11543" width="0" style="504" hidden="1" customWidth="1"/>
    <col min="11544" max="11776" width="9.140625" style="504"/>
    <col min="11777" max="11777" width="45.7109375" style="504" bestFit="1" customWidth="1"/>
    <col min="11778" max="11778" width="9.5703125" style="504" bestFit="1" customWidth="1"/>
    <col min="11779" max="11789" width="0" style="504" hidden="1" customWidth="1"/>
    <col min="11790" max="11790" width="17.28515625" style="504" customWidth="1"/>
    <col min="11791" max="11799" width="0" style="504" hidden="1" customWidth="1"/>
    <col min="11800" max="12032" width="9.140625" style="504"/>
    <col min="12033" max="12033" width="45.7109375" style="504" bestFit="1" customWidth="1"/>
    <col min="12034" max="12034" width="9.5703125" style="504" bestFit="1" customWidth="1"/>
    <col min="12035" max="12045" width="0" style="504" hidden="1" customWidth="1"/>
    <col min="12046" max="12046" width="17.28515625" style="504" customWidth="1"/>
    <col min="12047" max="12055" width="0" style="504" hidden="1" customWidth="1"/>
    <col min="12056" max="12288" width="9.140625" style="504"/>
    <col min="12289" max="12289" width="45.7109375" style="504" bestFit="1" customWidth="1"/>
    <col min="12290" max="12290" width="9.5703125" style="504" bestFit="1" customWidth="1"/>
    <col min="12291" max="12301" width="0" style="504" hidden="1" customWidth="1"/>
    <col min="12302" max="12302" width="17.28515625" style="504" customWidth="1"/>
    <col min="12303" max="12311" width="0" style="504" hidden="1" customWidth="1"/>
    <col min="12312" max="12544" width="9.140625" style="504"/>
    <col min="12545" max="12545" width="45.7109375" style="504" bestFit="1" customWidth="1"/>
    <col min="12546" max="12546" width="9.5703125" style="504" bestFit="1" customWidth="1"/>
    <col min="12547" max="12557" width="0" style="504" hidden="1" customWidth="1"/>
    <col min="12558" max="12558" width="17.28515625" style="504" customWidth="1"/>
    <col min="12559" max="12567" width="0" style="504" hidden="1" customWidth="1"/>
    <col min="12568" max="12800" width="9.140625" style="504"/>
    <col min="12801" max="12801" width="45.7109375" style="504" bestFit="1" customWidth="1"/>
    <col min="12802" max="12802" width="9.5703125" style="504" bestFit="1" customWidth="1"/>
    <col min="12803" max="12813" width="0" style="504" hidden="1" customWidth="1"/>
    <col min="12814" max="12814" width="17.28515625" style="504" customWidth="1"/>
    <col min="12815" max="12823" width="0" style="504" hidden="1" customWidth="1"/>
    <col min="12824" max="13056" width="9.140625" style="504"/>
    <col min="13057" max="13057" width="45.7109375" style="504" bestFit="1" customWidth="1"/>
    <col min="13058" max="13058" width="9.5703125" style="504" bestFit="1" customWidth="1"/>
    <col min="13059" max="13069" width="0" style="504" hidden="1" customWidth="1"/>
    <col min="13070" max="13070" width="17.28515625" style="504" customWidth="1"/>
    <col min="13071" max="13079" width="0" style="504" hidden="1" customWidth="1"/>
    <col min="13080" max="13312" width="9.140625" style="504"/>
    <col min="13313" max="13313" width="45.7109375" style="504" bestFit="1" customWidth="1"/>
    <col min="13314" max="13314" width="9.5703125" style="504" bestFit="1" customWidth="1"/>
    <col min="13315" max="13325" width="0" style="504" hidden="1" customWidth="1"/>
    <col min="13326" max="13326" width="17.28515625" style="504" customWidth="1"/>
    <col min="13327" max="13335" width="0" style="504" hidden="1" customWidth="1"/>
    <col min="13336" max="13568" width="9.140625" style="504"/>
    <col min="13569" max="13569" width="45.7109375" style="504" bestFit="1" customWidth="1"/>
    <col min="13570" max="13570" width="9.5703125" style="504" bestFit="1" customWidth="1"/>
    <col min="13571" max="13581" width="0" style="504" hidden="1" customWidth="1"/>
    <col min="13582" max="13582" width="17.28515625" style="504" customWidth="1"/>
    <col min="13583" max="13591" width="0" style="504" hidden="1" customWidth="1"/>
    <col min="13592" max="13824" width="9.140625" style="504"/>
    <col min="13825" max="13825" width="45.7109375" style="504" bestFit="1" customWidth="1"/>
    <col min="13826" max="13826" width="9.5703125" style="504" bestFit="1" customWidth="1"/>
    <col min="13827" max="13837" width="0" style="504" hidden="1" customWidth="1"/>
    <col min="13838" max="13838" width="17.28515625" style="504" customWidth="1"/>
    <col min="13839" max="13847" width="0" style="504" hidden="1" customWidth="1"/>
    <col min="13848" max="14080" width="9.140625" style="504"/>
    <col min="14081" max="14081" width="45.7109375" style="504" bestFit="1" customWidth="1"/>
    <col min="14082" max="14082" width="9.5703125" style="504" bestFit="1" customWidth="1"/>
    <col min="14083" max="14093" width="0" style="504" hidden="1" customWidth="1"/>
    <col min="14094" max="14094" width="17.28515625" style="504" customWidth="1"/>
    <col min="14095" max="14103" width="0" style="504" hidden="1" customWidth="1"/>
    <col min="14104" max="14336" width="9.140625" style="504"/>
    <col min="14337" max="14337" width="45.7109375" style="504" bestFit="1" customWidth="1"/>
    <col min="14338" max="14338" width="9.5703125" style="504" bestFit="1" customWidth="1"/>
    <col min="14339" max="14349" width="0" style="504" hidden="1" customWidth="1"/>
    <col min="14350" max="14350" width="17.28515625" style="504" customWidth="1"/>
    <col min="14351" max="14359" width="0" style="504" hidden="1" customWidth="1"/>
    <col min="14360" max="14592" width="9.140625" style="504"/>
    <col min="14593" max="14593" width="45.7109375" style="504" bestFit="1" customWidth="1"/>
    <col min="14594" max="14594" width="9.5703125" style="504" bestFit="1" customWidth="1"/>
    <col min="14595" max="14605" width="0" style="504" hidden="1" customWidth="1"/>
    <col min="14606" max="14606" width="17.28515625" style="504" customWidth="1"/>
    <col min="14607" max="14615" width="0" style="504" hidden="1" customWidth="1"/>
    <col min="14616" max="14848" width="9.140625" style="504"/>
    <col min="14849" max="14849" width="45.7109375" style="504" bestFit="1" customWidth="1"/>
    <col min="14850" max="14850" width="9.5703125" style="504" bestFit="1" customWidth="1"/>
    <col min="14851" max="14861" width="0" style="504" hidden="1" customWidth="1"/>
    <col min="14862" max="14862" width="17.28515625" style="504" customWidth="1"/>
    <col min="14863" max="14871" width="0" style="504" hidden="1" customWidth="1"/>
    <col min="14872" max="15104" width="9.140625" style="504"/>
    <col min="15105" max="15105" width="45.7109375" style="504" bestFit="1" customWidth="1"/>
    <col min="15106" max="15106" width="9.5703125" style="504" bestFit="1" customWidth="1"/>
    <col min="15107" max="15117" width="0" style="504" hidden="1" customWidth="1"/>
    <col min="15118" max="15118" width="17.28515625" style="504" customWidth="1"/>
    <col min="15119" max="15127" width="0" style="504" hidden="1" customWidth="1"/>
    <col min="15128" max="15360" width="9.140625" style="504"/>
    <col min="15361" max="15361" width="45.7109375" style="504" bestFit="1" customWidth="1"/>
    <col min="15362" max="15362" width="9.5703125" style="504" bestFit="1" customWidth="1"/>
    <col min="15363" max="15373" width="0" style="504" hidden="1" customWidth="1"/>
    <col min="15374" max="15374" width="17.28515625" style="504" customWidth="1"/>
    <col min="15375" max="15383" width="0" style="504" hidden="1" customWidth="1"/>
    <col min="15384" max="15616" width="9.140625" style="504"/>
    <col min="15617" max="15617" width="45.7109375" style="504" bestFit="1" customWidth="1"/>
    <col min="15618" max="15618" width="9.5703125" style="504" bestFit="1" customWidth="1"/>
    <col min="15619" max="15629" width="0" style="504" hidden="1" customWidth="1"/>
    <col min="15630" max="15630" width="17.28515625" style="504" customWidth="1"/>
    <col min="15631" max="15639" width="0" style="504" hidden="1" customWidth="1"/>
    <col min="15640" max="15872" width="9.140625" style="504"/>
    <col min="15873" max="15873" width="45.7109375" style="504" bestFit="1" customWidth="1"/>
    <col min="15874" max="15874" width="9.5703125" style="504" bestFit="1" customWidth="1"/>
    <col min="15875" max="15885" width="0" style="504" hidden="1" customWidth="1"/>
    <col min="15886" max="15886" width="17.28515625" style="504" customWidth="1"/>
    <col min="15887" max="15895" width="0" style="504" hidden="1" customWidth="1"/>
    <col min="15896" max="16128" width="9.140625" style="504"/>
    <col min="16129" max="16129" width="45.7109375" style="504" bestFit="1" customWidth="1"/>
    <col min="16130" max="16130" width="9.5703125" style="504" bestFit="1" customWidth="1"/>
    <col min="16131" max="16141" width="0" style="504" hidden="1" customWidth="1"/>
    <col min="16142" max="16142" width="17.28515625" style="504" customWidth="1"/>
    <col min="16143" max="16151" width="0" style="504" hidden="1" customWidth="1"/>
    <col min="16152" max="16384" width="9.140625" style="504"/>
  </cols>
  <sheetData>
    <row r="1" spans="1:19" s="497" customFormat="1" ht="15.75">
      <c r="A1" s="573" t="s">
        <v>304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Q1" s="498"/>
      <c r="R1" s="499"/>
      <c r="S1" s="500"/>
    </row>
    <row r="2" spans="1:19" s="497" customFormat="1" ht="15.75">
      <c r="A2" s="575" t="s">
        <v>337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Q2" s="501"/>
      <c r="R2" s="502"/>
      <c r="S2" s="500"/>
    </row>
    <row r="3" spans="1:19" s="497" customFormat="1" ht="15.75">
      <c r="A3" s="571" t="str">
        <f>R4</f>
        <v>March 2017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Q3" s="501"/>
      <c r="R3" s="502"/>
      <c r="S3" s="500"/>
    </row>
    <row r="4" spans="1:19" s="497" customFormat="1">
      <c r="A4" s="485"/>
      <c r="B4" s="472"/>
      <c r="C4" s="472"/>
      <c r="D4" s="472"/>
      <c r="E4" s="472"/>
      <c r="F4" s="472"/>
      <c r="G4" s="472"/>
      <c r="H4" s="486"/>
      <c r="I4" s="486"/>
      <c r="J4" s="486"/>
      <c r="K4" s="453"/>
      <c r="L4" s="453"/>
      <c r="M4" s="453"/>
      <c r="N4" s="453"/>
      <c r="Q4" s="501" t="s">
        <v>408</v>
      </c>
      <c r="R4" s="502" t="str">
        <f>TEXT(S4,"mmmm yyyy")</f>
        <v>March 2017</v>
      </c>
      <c r="S4" s="503">
        <v>42825</v>
      </c>
    </row>
    <row r="5" spans="1:19">
      <c r="A5" s="487"/>
      <c r="B5" s="472"/>
      <c r="C5" s="472"/>
      <c r="D5" s="472"/>
      <c r="E5" s="472"/>
      <c r="F5" s="472"/>
      <c r="G5" s="472"/>
      <c r="H5" s="488"/>
      <c r="I5" s="488"/>
      <c r="J5" s="488"/>
      <c r="K5" s="472"/>
      <c r="L5" s="472"/>
      <c r="M5" s="472"/>
      <c r="N5" s="472"/>
      <c r="Q5" s="501" t="s">
        <v>415</v>
      </c>
      <c r="R5" s="502" t="str">
        <f>S5</f>
        <v>.</v>
      </c>
      <c r="S5" s="505" t="s">
        <v>410</v>
      </c>
    </row>
    <row r="6" spans="1:19" ht="15.75">
      <c r="A6" s="126"/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 t="str">
        <f>"FY "&amp;$R$6&amp;" YTD"</f>
        <v>FY 2017 YTD</v>
      </c>
      <c r="Q6" s="501" t="s">
        <v>411</v>
      </c>
      <c r="R6" s="502" t="str">
        <f>S6</f>
        <v>2017</v>
      </c>
      <c r="S6" s="505" t="s">
        <v>412</v>
      </c>
    </row>
    <row r="7" spans="1:19" s="506" customFormat="1" ht="16.5" thickBot="1">
      <c r="A7" s="127"/>
      <c r="B7" s="463" t="str">
        <f>"9/1/2"&amp;$R$10</f>
        <v>9/1/2016</v>
      </c>
      <c r="C7" s="536" t="str">
        <f>"Oct 2"&amp;$R$10</f>
        <v>Oct 2016</v>
      </c>
      <c r="D7" s="536" t="str">
        <f>"Nov 2"&amp;$R$10</f>
        <v>Nov 2016</v>
      </c>
      <c r="E7" s="536" t="str">
        <f>"Dec 2"&amp;$R$10</f>
        <v>Dec 2016</v>
      </c>
      <c r="F7" s="536" t="str">
        <f>"Jan "&amp;$R$6</f>
        <v>Jan 2017</v>
      </c>
      <c r="G7" s="536" t="str">
        <f>"Feb "&amp;$R$6</f>
        <v>Feb 2017</v>
      </c>
      <c r="H7" s="536" t="str">
        <f>"Mar "&amp;$R$6</f>
        <v>Mar 2017</v>
      </c>
      <c r="I7" s="536" t="str">
        <f>"Apr "&amp;$R$6</f>
        <v>Apr 2017</v>
      </c>
      <c r="J7" s="536" t="str">
        <f>"May "&amp;$R$6</f>
        <v>May 2017</v>
      </c>
      <c r="K7" s="536" t="str">
        <f>"Jun "&amp;$R$6</f>
        <v>Jun 2017</v>
      </c>
      <c r="L7" s="536" t="str">
        <f>"Jul "&amp;$R$6</f>
        <v>Jul 2017</v>
      </c>
      <c r="M7" s="536" t="str">
        <f>"Aug "&amp;$R$6</f>
        <v>Aug 2017</v>
      </c>
      <c r="N7" s="536" t="str">
        <f>"as of "&amp;R8</f>
        <v>as of 03/31/17</v>
      </c>
      <c r="Q7" s="507" t="s">
        <v>413</v>
      </c>
      <c r="R7" s="502" t="str">
        <f>TEXT(S7,"mmmm-dd-yyyy")</f>
        <v>March-31-2017</v>
      </c>
      <c r="S7" s="503">
        <f>S4</f>
        <v>42825</v>
      </c>
    </row>
    <row r="8" spans="1:19" ht="16.5" thickTop="1">
      <c r="A8" s="126"/>
      <c r="B8" s="109"/>
      <c r="C8" s="109"/>
      <c r="D8" s="109"/>
      <c r="E8" s="109"/>
      <c r="F8" s="109"/>
      <c r="G8" s="109"/>
      <c r="H8" s="128"/>
      <c r="I8" s="129"/>
      <c r="J8" s="129"/>
      <c r="K8" s="109"/>
      <c r="L8" s="109"/>
      <c r="M8" s="109"/>
      <c r="N8" s="109"/>
      <c r="Q8" s="507" t="s">
        <v>413</v>
      </c>
      <c r="R8" s="502" t="str">
        <f>TEXT(S8,"mm/dd/yy")</f>
        <v>03/31/17</v>
      </c>
      <c r="S8" s="503">
        <f>S4</f>
        <v>42825</v>
      </c>
    </row>
    <row r="9" spans="1:19" ht="16.5" thickBot="1">
      <c r="A9" s="543" t="s">
        <v>322</v>
      </c>
      <c r="B9" s="114">
        <v>0</v>
      </c>
      <c r="C9" s="115">
        <f>B9</f>
        <v>0</v>
      </c>
      <c r="D9" s="115">
        <f t="shared" ref="D9:M9" si="0">C9</f>
        <v>0</v>
      </c>
      <c r="E9" s="115">
        <f t="shared" si="0"/>
        <v>0</v>
      </c>
      <c r="F9" s="115">
        <f t="shared" si="0"/>
        <v>0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115">
        <f>B9</f>
        <v>0</v>
      </c>
      <c r="Q9" s="501" t="s">
        <v>411</v>
      </c>
      <c r="R9" s="502">
        <f>S9</f>
        <v>17</v>
      </c>
      <c r="S9" s="505">
        <v>17</v>
      </c>
    </row>
    <row r="10" spans="1:19" ht="15.75">
      <c r="A10" s="126"/>
      <c r="B10" s="109"/>
      <c r="C10" s="109"/>
      <c r="D10" s="109"/>
      <c r="E10" s="109"/>
      <c r="F10" s="109"/>
      <c r="G10" s="109"/>
      <c r="H10" s="128"/>
      <c r="I10" s="128"/>
      <c r="J10" s="128"/>
      <c r="K10" s="109"/>
      <c r="L10" s="109"/>
      <c r="M10" s="109"/>
      <c r="N10" s="109"/>
      <c r="Q10" s="533" t="s">
        <v>414</v>
      </c>
      <c r="R10" s="534" t="str">
        <f>"0"&amp;S10</f>
        <v>016</v>
      </c>
      <c r="S10" s="505">
        <v>16</v>
      </c>
    </row>
    <row r="11" spans="1:19" ht="15.75">
      <c r="A11" s="108" t="s">
        <v>301</v>
      </c>
      <c r="B11" s="109"/>
      <c r="C11" s="109"/>
      <c r="D11" s="109"/>
      <c r="E11" s="109"/>
      <c r="F11" s="109"/>
      <c r="G11" s="109"/>
      <c r="H11" s="128"/>
      <c r="I11" s="128"/>
      <c r="J11" s="128"/>
      <c r="K11" s="109"/>
      <c r="L11" s="109"/>
      <c r="M11" s="109"/>
      <c r="N11" s="109"/>
    </row>
    <row r="12" spans="1:19" ht="15.75">
      <c r="A12" s="126"/>
      <c r="B12" s="109"/>
      <c r="C12" s="109"/>
      <c r="D12" s="109"/>
      <c r="E12" s="109"/>
      <c r="F12" s="109"/>
      <c r="G12" s="109"/>
      <c r="H12" s="128"/>
      <c r="I12" s="128"/>
      <c r="J12" s="128"/>
      <c r="K12" s="109"/>
      <c r="L12" s="109"/>
      <c r="M12" s="109"/>
      <c r="N12" s="109"/>
    </row>
    <row r="13" spans="1:19" ht="15.75">
      <c r="A13" s="126" t="s">
        <v>338</v>
      </c>
      <c r="B13" s="109">
        <v>654.5</v>
      </c>
      <c r="C13" s="109">
        <v>362.99</v>
      </c>
      <c r="D13" s="109">
        <v>484.59</v>
      </c>
      <c r="E13" s="109">
        <v>608.65</v>
      </c>
      <c r="F13" s="133">
        <v>705.83</v>
      </c>
      <c r="G13" s="109">
        <v>516.97</v>
      </c>
      <c r="H13" s="109">
        <v>381.32</v>
      </c>
      <c r="I13" s="109"/>
      <c r="J13" s="109"/>
      <c r="K13" s="109"/>
      <c r="L13" s="109"/>
      <c r="M13" s="109"/>
      <c r="N13" s="109">
        <f>ROUND(SUM(B13:M13),0)</f>
        <v>3715</v>
      </c>
    </row>
    <row r="14" spans="1:19" ht="15.75">
      <c r="A14" s="126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19" ht="15.75">
      <c r="A15" s="126"/>
      <c r="B15" s="109"/>
      <c r="C15" s="109"/>
      <c r="D15" s="109"/>
      <c r="E15" s="109"/>
      <c r="F15" s="109"/>
      <c r="G15" s="109"/>
      <c r="H15" s="128"/>
      <c r="I15" s="128"/>
      <c r="J15" s="128"/>
      <c r="K15" s="109"/>
      <c r="L15" s="109"/>
      <c r="M15" s="109"/>
      <c r="N15" s="109"/>
    </row>
    <row r="16" spans="1:19" ht="15.75">
      <c r="A16" s="110" t="s">
        <v>296</v>
      </c>
      <c r="B16" s="118">
        <f>ROUND((SUM(B8:B15)),0)</f>
        <v>655</v>
      </c>
      <c r="C16" s="118">
        <f t="shared" ref="C16:M16" si="1">ROUND((SUM(C8:C15)),0)</f>
        <v>363</v>
      </c>
      <c r="D16" s="118">
        <f t="shared" si="1"/>
        <v>485</v>
      </c>
      <c r="E16" s="118">
        <f t="shared" si="1"/>
        <v>609</v>
      </c>
      <c r="F16" s="118">
        <f t="shared" si="1"/>
        <v>706</v>
      </c>
      <c r="G16" s="118">
        <f t="shared" si="1"/>
        <v>517</v>
      </c>
      <c r="H16" s="118">
        <f t="shared" si="1"/>
        <v>381</v>
      </c>
      <c r="I16" s="118">
        <f t="shared" si="1"/>
        <v>0</v>
      </c>
      <c r="J16" s="118">
        <f t="shared" si="1"/>
        <v>0</v>
      </c>
      <c r="K16" s="118">
        <f t="shared" si="1"/>
        <v>0</v>
      </c>
      <c r="L16" s="118">
        <f t="shared" si="1"/>
        <v>0</v>
      </c>
      <c r="M16" s="118">
        <f t="shared" si="1"/>
        <v>0</v>
      </c>
      <c r="N16" s="118">
        <f>SUM(B16:M16)</f>
        <v>3716</v>
      </c>
    </row>
    <row r="17" spans="1:14" ht="15.75">
      <c r="A17" s="126"/>
      <c r="B17" s="109"/>
      <c r="C17" s="109"/>
      <c r="D17" s="109"/>
      <c r="E17" s="109"/>
      <c r="F17" s="109"/>
      <c r="G17" s="109"/>
      <c r="H17" s="134"/>
      <c r="I17" s="134"/>
      <c r="J17" s="134"/>
      <c r="K17" s="109"/>
      <c r="L17" s="109"/>
      <c r="M17" s="109"/>
      <c r="N17" s="109"/>
    </row>
    <row r="18" spans="1:14" ht="15.75">
      <c r="A18" s="108" t="s">
        <v>295</v>
      </c>
      <c r="B18" s="109"/>
      <c r="C18" s="109"/>
      <c r="D18" s="109"/>
      <c r="E18" s="109"/>
      <c r="F18" s="109"/>
      <c r="G18" s="109"/>
      <c r="H18" s="134"/>
      <c r="I18" s="134"/>
      <c r="J18" s="134"/>
      <c r="K18" s="109"/>
      <c r="L18" s="109"/>
      <c r="M18" s="109"/>
      <c r="N18" s="109"/>
    </row>
    <row r="19" spans="1:14" ht="15.75">
      <c r="A19" s="135"/>
      <c r="B19" s="109"/>
      <c r="C19" s="109"/>
      <c r="D19" s="109"/>
      <c r="E19" s="109"/>
      <c r="F19" s="109"/>
      <c r="G19" s="109"/>
      <c r="H19" s="134"/>
      <c r="I19" s="134"/>
      <c r="J19" s="134"/>
      <c r="K19" s="109"/>
      <c r="L19" s="109"/>
      <c r="M19" s="109"/>
      <c r="N19" s="109"/>
    </row>
    <row r="20" spans="1:14" ht="15.75">
      <c r="A20" s="130" t="s">
        <v>339</v>
      </c>
      <c r="B20" s="109">
        <f>ROUND(-B16,0)</f>
        <v>-655</v>
      </c>
      <c r="C20" s="109">
        <f t="shared" ref="C20:H20" si="2">ROUND(-C16,0)</f>
        <v>-363</v>
      </c>
      <c r="D20" s="109">
        <f t="shared" si="2"/>
        <v>-485</v>
      </c>
      <c r="E20" s="109">
        <f t="shared" si="2"/>
        <v>-609</v>
      </c>
      <c r="F20" s="109">
        <f t="shared" si="2"/>
        <v>-706</v>
      </c>
      <c r="G20" s="109">
        <f t="shared" si="2"/>
        <v>-517</v>
      </c>
      <c r="H20" s="109">
        <f t="shared" si="2"/>
        <v>-381</v>
      </c>
      <c r="I20" s="134"/>
      <c r="J20" s="134"/>
      <c r="K20" s="109"/>
      <c r="L20" s="109"/>
      <c r="M20" s="109"/>
      <c r="N20" s="109">
        <f>ROUND(SUM(B20:M20),0)</f>
        <v>-3716</v>
      </c>
    </row>
    <row r="21" spans="1:14" ht="15.75">
      <c r="A21" s="135"/>
      <c r="B21" s="109"/>
      <c r="C21" s="109"/>
      <c r="D21" s="109"/>
      <c r="E21" s="109"/>
      <c r="F21" s="109"/>
      <c r="G21" s="109"/>
      <c r="H21" s="134"/>
      <c r="I21" s="134"/>
      <c r="J21" s="134"/>
      <c r="K21" s="109"/>
      <c r="L21" s="109"/>
      <c r="M21" s="109"/>
      <c r="N21" s="109"/>
    </row>
    <row r="22" spans="1:14" ht="15.75">
      <c r="A22" s="135"/>
      <c r="B22" s="109"/>
      <c r="C22" s="109"/>
      <c r="D22" s="109"/>
      <c r="E22" s="109"/>
      <c r="F22" s="109"/>
      <c r="G22" s="109"/>
      <c r="H22" s="134"/>
      <c r="I22" s="134"/>
      <c r="J22" s="134"/>
      <c r="K22" s="109"/>
      <c r="L22" s="109"/>
      <c r="M22" s="109"/>
      <c r="N22" s="109"/>
    </row>
    <row r="23" spans="1:14" ht="15.75">
      <c r="A23" s="108" t="s">
        <v>293</v>
      </c>
      <c r="B23" s="118">
        <f>ROUND(SUM(B19:B22),0)</f>
        <v>-655</v>
      </c>
      <c r="C23" s="118">
        <f t="shared" ref="C23:F23" si="3">ROUND(SUM(C19:C22),0)</f>
        <v>-363</v>
      </c>
      <c r="D23" s="118">
        <f t="shared" si="3"/>
        <v>-485</v>
      </c>
      <c r="E23" s="118">
        <f t="shared" si="3"/>
        <v>-609</v>
      </c>
      <c r="F23" s="118">
        <f t="shared" si="3"/>
        <v>-706</v>
      </c>
      <c r="G23" s="118">
        <f t="shared" ref="G23:M23" si="4">SUM(G19:G22)</f>
        <v>-517</v>
      </c>
      <c r="H23" s="118">
        <f t="shared" si="4"/>
        <v>-381</v>
      </c>
      <c r="I23" s="118">
        <f t="shared" si="4"/>
        <v>0</v>
      </c>
      <c r="J23" s="118">
        <f t="shared" si="4"/>
        <v>0</v>
      </c>
      <c r="K23" s="118">
        <f t="shared" si="4"/>
        <v>0</v>
      </c>
      <c r="L23" s="118">
        <f t="shared" si="4"/>
        <v>0</v>
      </c>
      <c r="M23" s="118">
        <f t="shared" si="4"/>
        <v>0</v>
      </c>
      <c r="N23" s="118">
        <f>SUM(N19:N22)</f>
        <v>-3716</v>
      </c>
    </row>
    <row r="24" spans="1:14" ht="15.75">
      <c r="A24" s="126"/>
      <c r="B24" s="109"/>
      <c r="C24" s="109"/>
      <c r="D24" s="109"/>
      <c r="E24" s="109"/>
      <c r="F24" s="109"/>
      <c r="G24" s="109"/>
      <c r="H24" s="134"/>
      <c r="I24" s="134"/>
      <c r="J24" s="134"/>
      <c r="K24" s="109"/>
      <c r="L24" s="109"/>
      <c r="M24" s="109"/>
      <c r="N24" s="109"/>
    </row>
    <row r="25" spans="1:14" ht="16.5" thickBot="1">
      <c r="A25" s="544" t="s">
        <v>292</v>
      </c>
      <c r="B25" s="121">
        <f>+B9+B16+B23</f>
        <v>0</v>
      </c>
      <c r="C25" s="121">
        <f t="shared" ref="C25:M25" si="5">+C9+C16+C23</f>
        <v>0</v>
      </c>
      <c r="D25" s="121">
        <f t="shared" si="5"/>
        <v>0</v>
      </c>
      <c r="E25" s="121">
        <f t="shared" si="5"/>
        <v>0</v>
      </c>
      <c r="F25" s="121">
        <f t="shared" si="5"/>
        <v>0</v>
      </c>
      <c r="G25" s="121">
        <f t="shared" si="5"/>
        <v>0</v>
      </c>
      <c r="H25" s="121">
        <f t="shared" si="5"/>
        <v>0</v>
      </c>
      <c r="I25" s="121">
        <f t="shared" si="5"/>
        <v>0</v>
      </c>
      <c r="J25" s="121">
        <f t="shared" si="5"/>
        <v>0</v>
      </c>
      <c r="K25" s="121">
        <f t="shared" si="5"/>
        <v>0</v>
      </c>
      <c r="L25" s="121">
        <f t="shared" si="5"/>
        <v>0</v>
      </c>
      <c r="M25" s="121">
        <f t="shared" si="5"/>
        <v>0</v>
      </c>
      <c r="N25" s="121">
        <f>ROUND((+N9+N16+N23),0)</f>
        <v>0</v>
      </c>
    </row>
    <row r="26" spans="1:14" ht="16.5" thickTop="1">
      <c r="A26" s="136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ht="15.75">
      <c r="A27" s="136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1:14" ht="15.75">
      <c r="A28" s="102" t="s">
        <v>340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15.75">
      <c r="A29" s="136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5.75">
      <c r="A30" s="136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U45"/>
  <sheetViews>
    <sheetView zoomScale="85" zoomScaleNormal="85" zoomScaleSheetLayoutView="85" workbookViewId="0">
      <selection activeCell="H23" sqref="H23"/>
    </sheetView>
  </sheetViews>
  <sheetFormatPr defaultRowHeight="12.75"/>
  <cols>
    <col min="1" max="1" width="61.85546875" style="489" bestFit="1" customWidth="1"/>
    <col min="2" max="2" width="11.28515625" style="461" hidden="1" customWidth="1"/>
    <col min="3" max="3" width="11.85546875" style="461" hidden="1" customWidth="1"/>
    <col min="4" max="5" width="12.140625" style="461" hidden="1" customWidth="1"/>
    <col min="6" max="7" width="11.85546875" style="461" hidden="1" customWidth="1"/>
    <col min="8" max="8" width="12.42578125" style="461" customWidth="1"/>
    <col min="9" max="9" width="12.140625" style="461" hidden="1" customWidth="1"/>
    <col min="10" max="10" width="12.5703125" style="461" hidden="1" customWidth="1"/>
    <col min="11" max="11" width="12.140625" style="461" hidden="1" customWidth="1"/>
    <col min="12" max="12" width="11.42578125" style="461" hidden="1" customWidth="1"/>
    <col min="13" max="13" width="12.42578125" style="461" hidden="1" customWidth="1"/>
    <col min="14" max="14" width="17" style="461" bestFit="1" customWidth="1"/>
    <col min="15" max="15" width="22" style="489" customWidth="1"/>
    <col min="16" max="16" width="22" style="489" hidden="1" customWidth="1"/>
    <col min="17" max="17" width="17" style="489" hidden="1" customWidth="1"/>
    <col min="18" max="18" width="15" style="489" hidden="1" customWidth="1"/>
    <col min="19" max="19" width="10.28515625" style="489" hidden="1" customWidth="1"/>
    <col min="20" max="20" width="22" style="489" hidden="1" customWidth="1"/>
    <col min="21" max="21" width="4.85546875" style="489" hidden="1" customWidth="1"/>
    <col min="22" max="24" width="0" style="489" hidden="1" customWidth="1"/>
    <col min="25" max="256" width="9.140625" style="489"/>
    <col min="257" max="257" width="55.5703125" style="489" bestFit="1" customWidth="1"/>
    <col min="258" max="258" width="14" style="489" customWidth="1"/>
    <col min="259" max="269" width="0" style="489" hidden="1" customWidth="1"/>
    <col min="270" max="270" width="16.140625" style="489" customWidth="1"/>
    <col min="271" max="276" width="0" style="489" hidden="1" customWidth="1"/>
    <col min="277" max="277" width="4.85546875" style="489" customWidth="1"/>
    <col min="278" max="512" width="9.140625" style="489"/>
    <col min="513" max="513" width="55.5703125" style="489" bestFit="1" customWidth="1"/>
    <col min="514" max="514" width="14" style="489" customWidth="1"/>
    <col min="515" max="525" width="0" style="489" hidden="1" customWidth="1"/>
    <col min="526" max="526" width="16.140625" style="489" customWidth="1"/>
    <col min="527" max="532" width="0" style="489" hidden="1" customWidth="1"/>
    <col min="533" max="533" width="4.85546875" style="489" customWidth="1"/>
    <col min="534" max="768" width="9.140625" style="489"/>
    <col min="769" max="769" width="55.5703125" style="489" bestFit="1" customWidth="1"/>
    <col min="770" max="770" width="14" style="489" customWidth="1"/>
    <col min="771" max="781" width="0" style="489" hidden="1" customWidth="1"/>
    <col min="782" max="782" width="16.140625" style="489" customWidth="1"/>
    <col min="783" max="788" width="0" style="489" hidden="1" customWidth="1"/>
    <col min="789" max="789" width="4.85546875" style="489" customWidth="1"/>
    <col min="790" max="1024" width="9.140625" style="489"/>
    <col min="1025" max="1025" width="55.5703125" style="489" bestFit="1" customWidth="1"/>
    <col min="1026" max="1026" width="14" style="489" customWidth="1"/>
    <col min="1027" max="1037" width="0" style="489" hidden="1" customWidth="1"/>
    <col min="1038" max="1038" width="16.140625" style="489" customWidth="1"/>
    <col min="1039" max="1044" width="0" style="489" hidden="1" customWidth="1"/>
    <col min="1045" max="1045" width="4.85546875" style="489" customWidth="1"/>
    <col min="1046" max="1280" width="9.140625" style="489"/>
    <col min="1281" max="1281" width="55.5703125" style="489" bestFit="1" customWidth="1"/>
    <col min="1282" max="1282" width="14" style="489" customWidth="1"/>
    <col min="1283" max="1293" width="0" style="489" hidden="1" customWidth="1"/>
    <col min="1294" max="1294" width="16.140625" style="489" customWidth="1"/>
    <col min="1295" max="1300" width="0" style="489" hidden="1" customWidth="1"/>
    <col min="1301" max="1301" width="4.85546875" style="489" customWidth="1"/>
    <col min="1302" max="1536" width="9.140625" style="489"/>
    <col min="1537" max="1537" width="55.5703125" style="489" bestFit="1" customWidth="1"/>
    <col min="1538" max="1538" width="14" style="489" customWidth="1"/>
    <col min="1539" max="1549" width="0" style="489" hidden="1" customWidth="1"/>
    <col min="1550" max="1550" width="16.140625" style="489" customWidth="1"/>
    <col min="1551" max="1556" width="0" style="489" hidden="1" customWidth="1"/>
    <col min="1557" max="1557" width="4.85546875" style="489" customWidth="1"/>
    <col min="1558" max="1792" width="9.140625" style="489"/>
    <col min="1793" max="1793" width="55.5703125" style="489" bestFit="1" customWidth="1"/>
    <col min="1794" max="1794" width="14" style="489" customWidth="1"/>
    <col min="1795" max="1805" width="0" style="489" hidden="1" customWidth="1"/>
    <col min="1806" max="1806" width="16.140625" style="489" customWidth="1"/>
    <col min="1807" max="1812" width="0" style="489" hidden="1" customWidth="1"/>
    <col min="1813" max="1813" width="4.85546875" style="489" customWidth="1"/>
    <col min="1814" max="2048" width="9.140625" style="489"/>
    <col min="2049" max="2049" width="55.5703125" style="489" bestFit="1" customWidth="1"/>
    <col min="2050" max="2050" width="14" style="489" customWidth="1"/>
    <col min="2051" max="2061" width="0" style="489" hidden="1" customWidth="1"/>
    <col min="2062" max="2062" width="16.140625" style="489" customWidth="1"/>
    <col min="2063" max="2068" width="0" style="489" hidden="1" customWidth="1"/>
    <col min="2069" max="2069" width="4.85546875" style="489" customWidth="1"/>
    <col min="2070" max="2304" width="9.140625" style="489"/>
    <col min="2305" max="2305" width="55.5703125" style="489" bestFit="1" customWidth="1"/>
    <col min="2306" max="2306" width="14" style="489" customWidth="1"/>
    <col min="2307" max="2317" width="0" style="489" hidden="1" customWidth="1"/>
    <col min="2318" max="2318" width="16.140625" style="489" customWidth="1"/>
    <col min="2319" max="2324" width="0" style="489" hidden="1" customWidth="1"/>
    <col min="2325" max="2325" width="4.85546875" style="489" customWidth="1"/>
    <col min="2326" max="2560" width="9.140625" style="489"/>
    <col min="2561" max="2561" width="55.5703125" style="489" bestFit="1" customWidth="1"/>
    <col min="2562" max="2562" width="14" style="489" customWidth="1"/>
    <col min="2563" max="2573" width="0" style="489" hidden="1" customWidth="1"/>
    <col min="2574" max="2574" width="16.140625" style="489" customWidth="1"/>
    <col min="2575" max="2580" width="0" style="489" hidden="1" customWidth="1"/>
    <col min="2581" max="2581" width="4.85546875" style="489" customWidth="1"/>
    <col min="2582" max="2816" width="9.140625" style="489"/>
    <col min="2817" max="2817" width="55.5703125" style="489" bestFit="1" customWidth="1"/>
    <col min="2818" max="2818" width="14" style="489" customWidth="1"/>
    <col min="2819" max="2829" width="0" style="489" hidden="1" customWidth="1"/>
    <col min="2830" max="2830" width="16.140625" style="489" customWidth="1"/>
    <col min="2831" max="2836" width="0" style="489" hidden="1" customWidth="1"/>
    <col min="2837" max="2837" width="4.85546875" style="489" customWidth="1"/>
    <col min="2838" max="3072" width="9.140625" style="489"/>
    <col min="3073" max="3073" width="55.5703125" style="489" bestFit="1" customWidth="1"/>
    <col min="3074" max="3074" width="14" style="489" customWidth="1"/>
    <col min="3075" max="3085" width="0" style="489" hidden="1" customWidth="1"/>
    <col min="3086" max="3086" width="16.140625" style="489" customWidth="1"/>
    <col min="3087" max="3092" width="0" style="489" hidden="1" customWidth="1"/>
    <col min="3093" max="3093" width="4.85546875" style="489" customWidth="1"/>
    <col min="3094" max="3328" width="9.140625" style="489"/>
    <col min="3329" max="3329" width="55.5703125" style="489" bestFit="1" customWidth="1"/>
    <col min="3330" max="3330" width="14" style="489" customWidth="1"/>
    <col min="3331" max="3341" width="0" style="489" hidden="1" customWidth="1"/>
    <col min="3342" max="3342" width="16.140625" style="489" customWidth="1"/>
    <col min="3343" max="3348" width="0" style="489" hidden="1" customWidth="1"/>
    <col min="3349" max="3349" width="4.85546875" style="489" customWidth="1"/>
    <col min="3350" max="3584" width="9.140625" style="489"/>
    <col min="3585" max="3585" width="55.5703125" style="489" bestFit="1" customWidth="1"/>
    <col min="3586" max="3586" width="14" style="489" customWidth="1"/>
    <col min="3587" max="3597" width="0" style="489" hidden="1" customWidth="1"/>
    <col min="3598" max="3598" width="16.140625" style="489" customWidth="1"/>
    <col min="3599" max="3604" width="0" style="489" hidden="1" customWidth="1"/>
    <col min="3605" max="3605" width="4.85546875" style="489" customWidth="1"/>
    <col min="3606" max="3840" width="9.140625" style="489"/>
    <col min="3841" max="3841" width="55.5703125" style="489" bestFit="1" customWidth="1"/>
    <col min="3842" max="3842" width="14" style="489" customWidth="1"/>
    <col min="3843" max="3853" width="0" style="489" hidden="1" customWidth="1"/>
    <col min="3854" max="3854" width="16.140625" style="489" customWidth="1"/>
    <col min="3855" max="3860" width="0" style="489" hidden="1" customWidth="1"/>
    <col min="3861" max="3861" width="4.85546875" style="489" customWidth="1"/>
    <col min="3862" max="4096" width="9.140625" style="489"/>
    <col min="4097" max="4097" width="55.5703125" style="489" bestFit="1" customWidth="1"/>
    <col min="4098" max="4098" width="14" style="489" customWidth="1"/>
    <col min="4099" max="4109" width="0" style="489" hidden="1" customWidth="1"/>
    <col min="4110" max="4110" width="16.140625" style="489" customWidth="1"/>
    <col min="4111" max="4116" width="0" style="489" hidden="1" customWidth="1"/>
    <col min="4117" max="4117" width="4.85546875" style="489" customWidth="1"/>
    <col min="4118" max="4352" width="9.140625" style="489"/>
    <col min="4353" max="4353" width="55.5703125" style="489" bestFit="1" customWidth="1"/>
    <col min="4354" max="4354" width="14" style="489" customWidth="1"/>
    <col min="4355" max="4365" width="0" style="489" hidden="1" customWidth="1"/>
    <col min="4366" max="4366" width="16.140625" style="489" customWidth="1"/>
    <col min="4367" max="4372" width="0" style="489" hidden="1" customWidth="1"/>
    <col min="4373" max="4373" width="4.85546875" style="489" customWidth="1"/>
    <col min="4374" max="4608" width="9.140625" style="489"/>
    <col min="4609" max="4609" width="55.5703125" style="489" bestFit="1" customWidth="1"/>
    <col min="4610" max="4610" width="14" style="489" customWidth="1"/>
    <col min="4611" max="4621" width="0" style="489" hidden="1" customWidth="1"/>
    <col min="4622" max="4622" width="16.140625" style="489" customWidth="1"/>
    <col min="4623" max="4628" width="0" style="489" hidden="1" customWidth="1"/>
    <col min="4629" max="4629" width="4.85546875" style="489" customWidth="1"/>
    <col min="4630" max="4864" width="9.140625" style="489"/>
    <col min="4865" max="4865" width="55.5703125" style="489" bestFit="1" customWidth="1"/>
    <col min="4866" max="4866" width="14" style="489" customWidth="1"/>
    <col min="4867" max="4877" width="0" style="489" hidden="1" customWidth="1"/>
    <col min="4878" max="4878" width="16.140625" style="489" customWidth="1"/>
    <col min="4879" max="4884" width="0" style="489" hidden="1" customWidth="1"/>
    <col min="4885" max="4885" width="4.85546875" style="489" customWidth="1"/>
    <col min="4886" max="5120" width="9.140625" style="489"/>
    <col min="5121" max="5121" width="55.5703125" style="489" bestFit="1" customWidth="1"/>
    <col min="5122" max="5122" width="14" style="489" customWidth="1"/>
    <col min="5123" max="5133" width="0" style="489" hidden="1" customWidth="1"/>
    <col min="5134" max="5134" width="16.140625" style="489" customWidth="1"/>
    <col min="5135" max="5140" width="0" style="489" hidden="1" customWidth="1"/>
    <col min="5141" max="5141" width="4.85546875" style="489" customWidth="1"/>
    <col min="5142" max="5376" width="9.140625" style="489"/>
    <col min="5377" max="5377" width="55.5703125" style="489" bestFit="1" customWidth="1"/>
    <col min="5378" max="5378" width="14" style="489" customWidth="1"/>
    <col min="5379" max="5389" width="0" style="489" hidden="1" customWidth="1"/>
    <col min="5390" max="5390" width="16.140625" style="489" customWidth="1"/>
    <col min="5391" max="5396" width="0" style="489" hidden="1" customWidth="1"/>
    <col min="5397" max="5397" width="4.85546875" style="489" customWidth="1"/>
    <col min="5398" max="5632" width="9.140625" style="489"/>
    <col min="5633" max="5633" width="55.5703125" style="489" bestFit="1" customWidth="1"/>
    <col min="5634" max="5634" width="14" style="489" customWidth="1"/>
    <col min="5635" max="5645" width="0" style="489" hidden="1" customWidth="1"/>
    <col min="5646" max="5646" width="16.140625" style="489" customWidth="1"/>
    <col min="5647" max="5652" width="0" style="489" hidden="1" customWidth="1"/>
    <col min="5653" max="5653" width="4.85546875" style="489" customWidth="1"/>
    <col min="5654" max="5888" width="9.140625" style="489"/>
    <col min="5889" max="5889" width="55.5703125" style="489" bestFit="1" customWidth="1"/>
    <col min="5890" max="5890" width="14" style="489" customWidth="1"/>
    <col min="5891" max="5901" width="0" style="489" hidden="1" customWidth="1"/>
    <col min="5902" max="5902" width="16.140625" style="489" customWidth="1"/>
    <col min="5903" max="5908" width="0" style="489" hidden="1" customWidth="1"/>
    <col min="5909" max="5909" width="4.85546875" style="489" customWidth="1"/>
    <col min="5910" max="6144" width="9.140625" style="489"/>
    <col min="6145" max="6145" width="55.5703125" style="489" bestFit="1" customWidth="1"/>
    <col min="6146" max="6146" width="14" style="489" customWidth="1"/>
    <col min="6147" max="6157" width="0" style="489" hidden="1" customWidth="1"/>
    <col min="6158" max="6158" width="16.140625" style="489" customWidth="1"/>
    <col min="6159" max="6164" width="0" style="489" hidden="1" customWidth="1"/>
    <col min="6165" max="6165" width="4.85546875" style="489" customWidth="1"/>
    <col min="6166" max="6400" width="9.140625" style="489"/>
    <col min="6401" max="6401" width="55.5703125" style="489" bestFit="1" customWidth="1"/>
    <col min="6402" max="6402" width="14" style="489" customWidth="1"/>
    <col min="6403" max="6413" width="0" style="489" hidden="1" customWidth="1"/>
    <col min="6414" max="6414" width="16.140625" style="489" customWidth="1"/>
    <col min="6415" max="6420" width="0" style="489" hidden="1" customWidth="1"/>
    <col min="6421" max="6421" width="4.85546875" style="489" customWidth="1"/>
    <col min="6422" max="6656" width="9.140625" style="489"/>
    <col min="6657" max="6657" width="55.5703125" style="489" bestFit="1" customWidth="1"/>
    <col min="6658" max="6658" width="14" style="489" customWidth="1"/>
    <col min="6659" max="6669" width="0" style="489" hidden="1" customWidth="1"/>
    <col min="6670" max="6670" width="16.140625" style="489" customWidth="1"/>
    <col min="6671" max="6676" width="0" style="489" hidden="1" customWidth="1"/>
    <col min="6677" max="6677" width="4.85546875" style="489" customWidth="1"/>
    <col min="6678" max="6912" width="9.140625" style="489"/>
    <col min="6913" max="6913" width="55.5703125" style="489" bestFit="1" customWidth="1"/>
    <col min="6914" max="6914" width="14" style="489" customWidth="1"/>
    <col min="6915" max="6925" width="0" style="489" hidden="1" customWidth="1"/>
    <col min="6926" max="6926" width="16.140625" style="489" customWidth="1"/>
    <col min="6927" max="6932" width="0" style="489" hidden="1" customWidth="1"/>
    <col min="6933" max="6933" width="4.85546875" style="489" customWidth="1"/>
    <col min="6934" max="7168" width="9.140625" style="489"/>
    <col min="7169" max="7169" width="55.5703125" style="489" bestFit="1" customWidth="1"/>
    <col min="7170" max="7170" width="14" style="489" customWidth="1"/>
    <col min="7171" max="7181" width="0" style="489" hidden="1" customWidth="1"/>
    <col min="7182" max="7182" width="16.140625" style="489" customWidth="1"/>
    <col min="7183" max="7188" width="0" style="489" hidden="1" customWidth="1"/>
    <col min="7189" max="7189" width="4.85546875" style="489" customWidth="1"/>
    <col min="7190" max="7424" width="9.140625" style="489"/>
    <col min="7425" max="7425" width="55.5703125" style="489" bestFit="1" customWidth="1"/>
    <col min="7426" max="7426" width="14" style="489" customWidth="1"/>
    <col min="7427" max="7437" width="0" style="489" hidden="1" customWidth="1"/>
    <col min="7438" max="7438" width="16.140625" style="489" customWidth="1"/>
    <col min="7439" max="7444" width="0" style="489" hidden="1" customWidth="1"/>
    <col min="7445" max="7445" width="4.85546875" style="489" customWidth="1"/>
    <col min="7446" max="7680" width="9.140625" style="489"/>
    <col min="7681" max="7681" width="55.5703125" style="489" bestFit="1" customWidth="1"/>
    <col min="7682" max="7682" width="14" style="489" customWidth="1"/>
    <col min="7683" max="7693" width="0" style="489" hidden="1" customWidth="1"/>
    <col min="7694" max="7694" width="16.140625" style="489" customWidth="1"/>
    <col min="7695" max="7700" width="0" style="489" hidden="1" customWidth="1"/>
    <col min="7701" max="7701" width="4.85546875" style="489" customWidth="1"/>
    <col min="7702" max="7936" width="9.140625" style="489"/>
    <col min="7937" max="7937" width="55.5703125" style="489" bestFit="1" customWidth="1"/>
    <col min="7938" max="7938" width="14" style="489" customWidth="1"/>
    <col min="7939" max="7949" width="0" style="489" hidden="1" customWidth="1"/>
    <col min="7950" max="7950" width="16.140625" style="489" customWidth="1"/>
    <col min="7951" max="7956" width="0" style="489" hidden="1" customWidth="1"/>
    <col min="7957" max="7957" width="4.85546875" style="489" customWidth="1"/>
    <col min="7958" max="8192" width="9.140625" style="489"/>
    <col min="8193" max="8193" width="55.5703125" style="489" bestFit="1" customWidth="1"/>
    <col min="8194" max="8194" width="14" style="489" customWidth="1"/>
    <col min="8195" max="8205" width="0" style="489" hidden="1" customWidth="1"/>
    <col min="8206" max="8206" width="16.140625" style="489" customWidth="1"/>
    <col min="8207" max="8212" width="0" style="489" hidden="1" customWidth="1"/>
    <col min="8213" max="8213" width="4.85546875" style="489" customWidth="1"/>
    <col min="8214" max="8448" width="9.140625" style="489"/>
    <col min="8449" max="8449" width="55.5703125" style="489" bestFit="1" customWidth="1"/>
    <col min="8450" max="8450" width="14" style="489" customWidth="1"/>
    <col min="8451" max="8461" width="0" style="489" hidden="1" customWidth="1"/>
    <col min="8462" max="8462" width="16.140625" style="489" customWidth="1"/>
    <col min="8463" max="8468" width="0" style="489" hidden="1" customWidth="1"/>
    <col min="8469" max="8469" width="4.85546875" style="489" customWidth="1"/>
    <col min="8470" max="8704" width="9.140625" style="489"/>
    <col min="8705" max="8705" width="55.5703125" style="489" bestFit="1" customWidth="1"/>
    <col min="8706" max="8706" width="14" style="489" customWidth="1"/>
    <col min="8707" max="8717" width="0" style="489" hidden="1" customWidth="1"/>
    <col min="8718" max="8718" width="16.140625" style="489" customWidth="1"/>
    <col min="8719" max="8724" width="0" style="489" hidden="1" customWidth="1"/>
    <col min="8725" max="8725" width="4.85546875" style="489" customWidth="1"/>
    <col min="8726" max="8960" width="9.140625" style="489"/>
    <col min="8961" max="8961" width="55.5703125" style="489" bestFit="1" customWidth="1"/>
    <col min="8962" max="8962" width="14" style="489" customWidth="1"/>
    <col min="8963" max="8973" width="0" style="489" hidden="1" customWidth="1"/>
    <col min="8974" max="8974" width="16.140625" style="489" customWidth="1"/>
    <col min="8975" max="8980" width="0" style="489" hidden="1" customWidth="1"/>
    <col min="8981" max="8981" width="4.85546875" style="489" customWidth="1"/>
    <col min="8982" max="9216" width="9.140625" style="489"/>
    <col min="9217" max="9217" width="55.5703125" style="489" bestFit="1" customWidth="1"/>
    <col min="9218" max="9218" width="14" style="489" customWidth="1"/>
    <col min="9219" max="9229" width="0" style="489" hidden="1" customWidth="1"/>
    <col min="9230" max="9230" width="16.140625" style="489" customWidth="1"/>
    <col min="9231" max="9236" width="0" style="489" hidden="1" customWidth="1"/>
    <col min="9237" max="9237" width="4.85546875" style="489" customWidth="1"/>
    <col min="9238" max="9472" width="9.140625" style="489"/>
    <col min="9473" max="9473" width="55.5703125" style="489" bestFit="1" customWidth="1"/>
    <col min="9474" max="9474" width="14" style="489" customWidth="1"/>
    <col min="9475" max="9485" width="0" style="489" hidden="1" customWidth="1"/>
    <col min="9486" max="9486" width="16.140625" style="489" customWidth="1"/>
    <col min="9487" max="9492" width="0" style="489" hidden="1" customWidth="1"/>
    <col min="9493" max="9493" width="4.85546875" style="489" customWidth="1"/>
    <col min="9494" max="9728" width="9.140625" style="489"/>
    <col min="9729" max="9729" width="55.5703125" style="489" bestFit="1" customWidth="1"/>
    <col min="9730" max="9730" width="14" style="489" customWidth="1"/>
    <col min="9731" max="9741" width="0" style="489" hidden="1" customWidth="1"/>
    <col min="9742" max="9742" width="16.140625" style="489" customWidth="1"/>
    <col min="9743" max="9748" width="0" style="489" hidden="1" customWidth="1"/>
    <col min="9749" max="9749" width="4.85546875" style="489" customWidth="1"/>
    <col min="9750" max="9984" width="9.140625" style="489"/>
    <col min="9985" max="9985" width="55.5703125" style="489" bestFit="1" customWidth="1"/>
    <col min="9986" max="9986" width="14" style="489" customWidth="1"/>
    <col min="9987" max="9997" width="0" style="489" hidden="1" customWidth="1"/>
    <col min="9998" max="9998" width="16.140625" style="489" customWidth="1"/>
    <col min="9999" max="10004" width="0" style="489" hidden="1" customWidth="1"/>
    <col min="10005" max="10005" width="4.85546875" style="489" customWidth="1"/>
    <col min="10006" max="10240" width="9.140625" style="489"/>
    <col min="10241" max="10241" width="55.5703125" style="489" bestFit="1" customWidth="1"/>
    <col min="10242" max="10242" width="14" style="489" customWidth="1"/>
    <col min="10243" max="10253" width="0" style="489" hidden="1" customWidth="1"/>
    <col min="10254" max="10254" width="16.140625" style="489" customWidth="1"/>
    <col min="10255" max="10260" width="0" style="489" hidden="1" customWidth="1"/>
    <col min="10261" max="10261" width="4.85546875" style="489" customWidth="1"/>
    <col min="10262" max="10496" width="9.140625" style="489"/>
    <col min="10497" max="10497" width="55.5703125" style="489" bestFit="1" customWidth="1"/>
    <col min="10498" max="10498" width="14" style="489" customWidth="1"/>
    <col min="10499" max="10509" width="0" style="489" hidden="1" customWidth="1"/>
    <col min="10510" max="10510" width="16.140625" style="489" customWidth="1"/>
    <col min="10511" max="10516" width="0" style="489" hidden="1" customWidth="1"/>
    <col min="10517" max="10517" width="4.85546875" style="489" customWidth="1"/>
    <col min="10518" max="10752" width="9.140625" style="489"/>
    <col min="10753" max="10753" width="55.5703125" style="489" bestFit="1" customWidth="1"/>
    <col min="10754" max="10754" width="14" style="489" customWidth="1"/>
    <col min="10755" max="10765" width="0" style="489" hidden="1" customWidth="1"/>
    <col min="10766" max="10766" width="16.140625" style="489" customWidth="1"/>
    <col min="10767" max="10772" width="0" style="489" hidden="1" customWidth="1"/>
    <col min="10773" max="10773" width="4.85546875" style="489" customWidth="1"/>
    <col min="10774" max="11008" width="9.140625" style="489"/>
    <col min="11009" max="11009" width="55.5703125" style="489" bestFit="1" customWidth="1"/>
    <col min="11010" max="11010" width="14" style="489" customWidth="1"/>
    <col min="11011" max="11021" width="0" style="489" hidden="1" customWidth="1"/>
    <col min="11022" max="11022" width="16.140625" style="489" customWidth="1"/>
    <col min="11023" max="11028" width="0" style="489" hidden="1" customWidth="1"/>
    <col min="11029" max="11029" width="4.85546875" style="489" customWidth="1"/>
    <col min="11030" max="11264" width="9.140625" style="489"/>
    <col min="11265" max="11265" width="55.5703125" style="489" bestFit="1" customWidth="1"/>
    <col min="11266" max="11266" width="14" style="489" customWidth="1"/>
    <col min="11267" max="11277" width="0" style="489" hidden="1" customWidth="1"/>
    <col min="11278" max="11278" width="16.140625" style="489" customWidth="1"/>
    <col min="11279" max="11284" width="0" style="489" hidden="1" customWidth="1"/>
    <col min="11285" max="11285" width="4.85546875" style="489" customWidth="1"/>
    <col min="11286" max="11520" width="9.140625" style="489"/>
    <col min="11521" max="11521" width="55.5703125" style="489" bestFit="1" customWidth="1"/>
    <col min="11522" max="11522" width="14" style="489" customWidth="1"/>
    <col min="11523" max="11533" width="0" style="489" hidden="1" customWidth="1"/>
    <col min="11534" max="11534" width="16.140625" style="489" customWidth="1"/>
    <col min="11535" max="11540" width="0" style="489" hidden="1" customWidth="1"/>
    <col min="11541" max="11541" width="4.85546875" style="489" customWidth="1"/>
    <col min="11542" max="11776" width="9.140625" style="489"/>
    <col min="11777" max="11777" width="55.5703125" style="489" bestFit="1" customWidth="1"/>
    <col min="11778" max="11778" width="14" style="489" customWidth="1"/>
    <col min="11779" max="11789" width="0" style="489" hidden="1" customWidth="1"/>
    <col min="11790" max="11790" width="16.140625" style="489" customWidth="1"/>
    <col min="11791" max="11796" width="0" style="489" hidden="1" customWidth="1"/>
    <col min="11797" max="11797" width="4.85546875" style="489" customWidth="1"/>
    <col min="11798" max="12032" width="9.140625" style="489"/>
    <col min="12033" max="12033" width="55.5703125" style="489" bestFit="1" customWidth="1"/>
    <col min="12034" max="12034" width="14" style="489" customWidth="1"/>
    <col min="12035" max="12045" width="0" style="489" hidden="1" customWidth="1"/>
    <col min="12046" max="12046" width="16.140625" style="489" customWidth="1"/>
    <col min="12047" max="12052" width="0" style="489" hidden="1" customWidth="1"/>
    <col min="12053" max="12053" width="4.85546875" style="489" customWidth="1"/>
    <col min="12054" max="12288" width="9.140625" style="489"/>
    <col min="12289" max="12289" width="55.5703125" style="489" bestFit="1" customWidth="1"/>
    <col min="12290" max="12290" width="14" style="489" customWidth="1"/>
    <col min="12291" max="12301" width="0" style="489" hidden="1" customWidth="1"/>
    <col min="12302" max="12302" width="16.140625" style="489" customWidth="1"/>
    <col min="12303" max="12308" width="0" style="489" hidden="1" customWidth="1"/>
    <col min="12309" max="12309" width="4.85546875" style="489" customWidth="1"/>
    <col min="12310" max="12544" width="9.140625" style="489"/>
    <col min="12545" max="12545" width="55.5703125" style="489" bestFit="1" customWidth="1"/>
    <col min="12546" max="12546" width="14" style="489" customWidth="1"/>
    <col min="12547" max="12557" width="0" style="489" hidden="1" customWidth="1"/>
    <col min="12558" max="12558" width="16.140625" style="489" customWidth="1"/>
    <col min="12559" max="12564" width="0" style="489" hidden="1" customWidth="1"/>
    <col min="12565" max="12565" width="4.85546875" style="489" customWidth="1"/>
    <col min="12566" max="12800" width="9.140625" style="489"/>
    <col min="12801" max="12801" width="55.5703125" style="489" bestFit="1" customWidth="1"/>
    <col min="12802" max="12802" width="14" style="489" customWidth="1"/>
    <col min="12803" max="12813" width="0" style="489" hidden="1" customWidth="1"/>
    <col min="12814" max="12814" width="16.140625" style="489" customWidth="1"/>
    <col min="12815" max="12820" width="0" style="489" hidden="1" customWidth="1"/>
    <col min="12821" max="12821" width="4.85546875" style="489" customWidth="1"/>
    <col min="12822" max="13056" width="9.140625" style="489"/>
    <col min="13057" max="13057" width="55.5703125" style="489" bestFit="1" customWidth="1"/>
    <col min="13058" max="13058" width="14" style="489" customWidth="1"/>
    <col min="13059" max="13069" width="0" style="489" hidden="1" customWidth="1"/>
    <col min="13070" max="13070" width="16.140625" style="489" customWidth="1"/>
    <col min="13071" max="13076" width="0" style="489" hidden="1" customWidth="1"/>
    <col min="13077" max="13077" width="4.85546875" style="489" customWidth="1"/>
    <col min="13078" max="13312" width="9.140625" style="489"/>
    <col min="13313" max="13313" width="55.5703125" style="489" bestFit="1" customWidth="1"/>
    <col min="13314" max="13314" width="14" style="489" customWidth="1"/>
    <col min="13315" max="13325" width="0" style="489" hidden="1" customWidth="1"/>
    <col min="13326" max="13326" width="16.140625" style="489" customWidth="1"/>
    <col min="13327" max="13332" width="0" style="489" hidden="1" customWidth="1"/>
    <col min="13333" max="13333" width="4.85546875" style="489" customWidth="1"/>
    <col min="13334" max="13568" width="9.140625" style="489"/>
    <col min="13569" max="13569" width="55.5703125" style="489" bestFit="1" customWidth="1"/>
    <col min="13570" max="13570" width="14" style="489" customWidth="1"/>
    <col min="13571" max="13581" width="0" style="489" hidden="1" customWidth="1"/>
    <col min="13582" max="13582" width="16.140625" style="489" customWidth="1"/>
    <col min="13583" max="13588" width="0" style="489" hidden="1" customWidth="1"/>
    <col min="13589" max="13589" width="4.85546875" style="489" customWidth="1"/>
    <col min="13590" max="13824" width="9.140625" style="489"/>
    <col min="13825" max="13825" width="55.5703125" style="489" bestFit="1" customWidth="1"/>
    <col min="13826" max="13826" width="14" style="489" customWidth="1"/>
    <col min="13827" max="13837" width="0" style="489" hidden="1" customWidth="1"/>
    <col min="13838" max="13838" width="16.140625" style="489" customWidth="1"/>
    <col min="13839" max="13844" width="0" style="489" hidden="1" customWidth="1"/>
    <col min="13845" max="13845" width="4.85546875" style="489" customWidth="1"/>
    <col min="13846" max="14080" width="9.140625" style="489"/>
    <col min="14081" max="14081" width="55.5703125" style="489" bestFit="1" customWidth="1"/>
    <col min="14082" max="14082" width="14" style="489" customWidth="1"/>
    <col min="14083" max="14093" width="0" style="489" hidden="1" customWidth="1"/>
    <col min="14094" max="14094" width="16.140625" style="489" customWidth="1"/>
    <col min="14095" max="14100" width="0" style="489" hidden="1" customWidth="1"/>
    <col min="14101" max="14101" width="4.85546875" style="489" customWidth="1"/>
    <col min="14102" max="14336" width="9.140625" style="489"/>
    <col min="14337" max="14337" width="55.5703125" style="489" bestFit="1" customWidth="1"/>
    <col min="14338" max="14338" width="14" style="489" customWidth="1"/>
    <col min="14339" max="14349" width="0" style="489" hidden="1" customWidth="1"/>
    <col min="14350" max="14350" width="16.140625" style="489" customWidth="1"/>
    <col min="14351" max="14356" width="0" style="489" hidden="1" customWidth="1"/>
    <col min="14357" max="14357" width="4.85546875" style="489" customWidth="1"/>
    <col min="14358" max="14592" width="9.140625" style="489"/>
    <col min="14593" max="14593" width="55.5703125" style="489" bestFit="1" customWidth="1"/>
    <col min="14594" max="14594" width="14" style="489" customWidth="1"/>
    <col min="14595" max="14605" width="0" style="489" hidden="1" customWidth="1"/>
    <col min="14606" max="14606" width="16.140625" style="489" customWidth="1"/>
    <col min="14607" max="14612" width="0" style="489" hidden="1" customWidth="1"/>
    <col min="14613" max="14613" width="4.85546875" style="489" customWidth="1"/>
    <col min="14614" max="14848" width="9.140625" style="489"/>
    <col min="14849" max="14849" width="55.5703125" style="489" bestFit="1" customWidth="1"/>
    <col min="14850" max="14850" width="14" style="489" customWidth="1"/>
    <col min="14851" max="14861" width="0" style="489" hidden="1" customWidth="1"/>
    <col min="14862" max="14862" width="16.140625" style="489" customWidth="1"/>
    <col min="14863" max="14868" width="0" style="489" hidden="1" customWidth="1"/>
    <col min="14869" max="14869" width="4.85546875" style="489" customWidth="1"/>
    <col min="14870" max="15104" width="9.140625" style="489"/>
    <col min="15105" max="15105" width="55.5703125" style="489" bestFit="1" customWidth="1"/>
    <col min="15106" max="15106" width="14" style="489" customWidth="1"/>
    <col min="15107" max="15117" width="0" style="489" hidden="1" customWidth="1"/>
    <col min="15118" max="15118" width="16.140625" style="489" customWidth="1"/>
    <col min="15119" max="15124" width="0" style="489" hidden="1" customWidth="1"/>
    <col min="15125" max="15125" width="4.85546875" style="489" customWidth="1"/>
    <col min="15126" max="15360" width="9.140625" style="489"/>
    <col min="15361" max="15361" width="55.5703125" style="489" bestFit="1" customWidth="1"/>
    <col min="15362" max="15362" width="14" style="489" customWidth="1"/>
    <col min="15363" max="15373" width="0" style="489" hidden="1" customWidth="1"/>
    <col min="15374" max="15374" width="16.140625" style="489" customWidth="1"/>
    <col min="15375" max="15380" width="0" style="489" hidden="1" customWidth="1"/>
    <col min="15381" max="15381" width="4.85546875" style="489" customWidth="1"/>
    <col min="15382" max="15616" width="9.140625" style="489"/>
    <col min="15617" max="15617" width="55.5703125" style="489" bestFit="1" customWidth="1"/>
    <col min="15618" max="15618" width="14" style="489" customWidth="1"/>
    <col min="15619" max="15629" width="0" style="489" hidden="1" customWidth="1"/>
    <col min="15630" max="15630" width="16.140625" style="489" customWidth="1"/>
    <col min="15631" max="15636" width="0" style="489" hidden="1" customWidth="1"/>
    <col min="15637" max="15637" width="4.85546875" style="489" customWidth="1"/>
    <col min="15638" max="15872" width="9.140625" style="489"/>
    <col min="15873" max="15873" width="55.5703125" style="489" bestFit="1" customWidth="1"/>
    <col min="15874" max="15874" width="14" style="489" customWidth="1"/>
    <col min="15875" max="15885" width="0" style="489" hidden="1" customWidth="1"/>
    <col min="15886" max="15886" width="16.140625" style="489" customWidth="1"/>
    <col min="15887" max="15892" width="0" style="489" hidden="1" customWidth="1"/>
    <col min="15893" max="15893" width="4.85546875" style="489" customWidth="1"/>
    <col min="15894" max="16128" width="9.140625" style="489"/>
    <col min="16129" max="16129" width="55.5703125" style="489" bestFit="1" customWidth="1"/>
    <col min="16130" max="16130" width="14" style="489" customWidth="1"/>
    <col min="16131" max="16141" width="0" style="489" hidden="1" customWidth="1"/>
    <col min="16142" max="16142" width="16.140625" style="489" customWidth="1"/>
    <col min="16143" max="16148" width="0" style="489" hidden="1" customWidth="1"/>
    <col min="16149" max="16149" width="4.85546875" style="489" customWidth="1"/>
    <col min="16150" max="16384" width="9.140625" style="489"/>
  </cols>
  <sheetData>
    <row r="1" spans="1:19" s="478" customFormat="1" ht="15.75">
      <c r="A1" s="573" t="s">
        <v>304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Q1" s="480"/>
      <c r="R1" s="481"/>
      <c r="S1" s="482"/>
    </row>
    <row r="2" spans="1:19" s="478" customFormat="1" ht="15.75">
      <c r="A2" s="575" t="s">
        <v>341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Q2" s="483"/>
      <c r="R2" s="484"/>
      <c r="S2" s="482"/>
    </row>
    <row r="3" spans="1:19" s="478" customFormat="1" ht="15.75">
      <c r="A3" s="571" t="str">
        <f>R4</f>
        <v>March 2017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Q3" s="483"/>
      <c r="R3" s="484"/>
      <c r="S3" s="482"/>
    </row>
    <row r="4" spans="1:19" s="478" customFormat="1">
      <c r="A4" s="485"/>
      <c r="B4" s="472"/>
      <c r="C4" s="472"/>
      <c r="D4" s="472"/>
      <c r="E4" s="472"/>
      <c r="F4" s="472"/>
      <c r="G4" s="472"/>
      <c r="H4" s="486"/>
      <c r="I4" s="486"/>
      <c r="J4" s="486"/>
      <c r="K4" s="453"/>
      <c r="L4" s="453"/>
      <c r="M4" s="453"/>
      <c r="N4" s="453"/>
      <c r="Q4" s="483" t="s">
        <v>408</v>
      </c>
      <c r="R4" s="484" t="str">
        <f>TEXT(S4,"mmmm yyyy")</f>
        <v>March 2017</v>
      </c>
      <c r="S4" s="460">
        <v>42825</v>
      </c>
    </row>
    <row r="5" spans="1:19">
      <c r="A5" s="487"/>
      <c r="B5" s="472"/>
      <c r="C5" s="472"/>
      <c r="D5" s="472"/>
      <c r="E5" s="472"/>
      <c r="F5" s="472"/>
      <c r="G5" s="472"/>
      <c r="H5" s="488"/>
      <c r="I5" s="488"/>
      <c r="J5" s="488"/>
      <c r="K5" s="472"/>
      <c r="L5" s="472"/>
      <c r="M5" s="472"/>
      <c r="N5" s="472"/>
      <c r="Q5" s="483" t="s">
        <v>415</v>
      </c>
      <c r="R5" s="484" t="str">
        <f>S5</f>
        <v>.</v>
      </c>
      <c r="S5" s="456" t="s">
        <v>410</v>
      </c>
    </row>
    <row r="6" spans="1:19" ht="15.75">
      <c r="A6" s="126"/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 t="str">
        <f>"FY "&amp;$R$6&amp;" YTD"</f>
        <v>FY 2017 YTD</v>
      </c>
      <c r="Q6" s="483" t="s">
        <v>411</v>
      </c>
      <c r="R6" s="484" t="str">
        <f>S6</f>
        <v>2017</v>
      </c>
      <c r="S6" s="456" t="s">
        <v>412</v>
      </c>
    </row>
    <row r="7" spans="1:19" s="491" customFormat="1" ht="16.5" thickBot="1">
      <c r="A7" s="127"/>
      <c r="B7" s="463" t="str">
        <f>"9/1/2"&amp;$R$10</f>
        <v>9/1/2016</v>
      </c>
      <c r="C7" s="536" t="str">
        <f>"Oct 2"&amp;$R$10</f>
        <v>Oct 2016</v>
      </c>
      <c r="D7" s="536" t="str">
        <f>"Nov 2"&amp;$R$10</f>
        <v>Nov 2016</v>
      </c>
      <c r="E7" s="536" t="str">
        <f>"Dec 2"&amp;$R$10</f>
        <v>Dec 2016</v>
      </c>
      <c r="F7" s="536" t="str">
        <f>"Jan "&amp;$R$6</f>
        <v>Jan 2017</v>
      </c>
      <c r="G7" s="536" t="str">
        <f>"Feb "&amp;$R$6</f>
        <v>Feb 2017</v>
      </c>
      <c r="H7" s="536" t="str">
        <f>"Mar "&amp;$R$6</f>
        <v>Mar 2017</v>
      </c>
      <c r="I7" s="536" t="str">
        <f>"Apr "&amp;$R$6</f>
        <v>Apr 2017</v>
      </c>
      <c r="J7" s="536" t="str">
        <f>"May "&amp;$R$6</f>
        <v>May 2017</v>
      </c>
      <c r="K7" s="536" t="str">
        <f>"Jun "&amp;$R$6</f>
        <v>Jun 2017</v>
      </c>
      <c r="L7" s="536" t="str">
        <f>"Jul "&amp;$R$6</f>
        <v>Jul 2017</v>
      </c>
      <c r="M7" s="536" t="str">
        <f>"Aug "&amp;$R$6</f>
        <v>Aug 2017</v>
      </c>
      <c r="N7" s="536" t="str">
        <f>"as of "&amp;R8</f>
        <v>as of 03/31/17</v>
      </c>
      <c r="Q7" s="492" t="s">
        <v>413</v>
      </c>
      <c r="R7" s="484" t="str">
        <f>TEXT(S7,"mmmm-dd-yyyy")</f>
        <v>March-31-2017</v>
      </c>
      <c r="S7" s="460">
        <f>S4</f>
        <v>42825</v>
      </c>
    </row>
    <row r="8" spans="1:19" ht="16.5" thickTop="1">
      <c r="A8" s="126"/>
      <c r="B8" s="109"/>
      <c r="C8" s="109"/>
      <c r="D8" s="109"/>
      <c r="E8" s="109"/>
      <c r="F8" s="109"/>
      <c r="G8" s="109"/>
      <c r="H8" s="128"/>
      <c r="I8" s="129"/>
      <c r="J8" s="129"/>
      <c r="K8" s="109"/>
      <c r="L8" s="109"/>
      <c r="M8" s="109"/>
      <c r="N8" s="109"/>
      <c r="Q8" s="492" t="s">
        <v>413</v>
      </c>
      <c r="R8" s="484" t="str">
        <f>TEXT(S8,"mm/dd/yy")</f>
        <v>03/31/17</v>
      </c>
      <c r="S8" s="460">
        <f>S4</f>
        <v>42825</v>
      </c>
    </row>
    <row r="9" spans="1:19" ht="16.5" thickBot="1">
      <c r="A9" s="543" t="s">
        <v>302</v>
      </c>
      <c r="B9" s="117">
        <v>0</v>
      </c>
      <c r="C9" s="115">
        <f>B9</f>
        <v>0</v>
      </c>
      <c r="D9" s="115">
        <f t="shared" ref="D9:N9" si="0">C9</f>
        <v>0</v>
      </c>
      <c r="E9" s="115">
        <f t="shared" si="0"/>
        <v>0</v>
      </c>
      <c r="F9" s="115">
        <f t="shared" si="0"/>
        <v>0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115">
        <f t="shared" si="0"/>
        <v>0</v>
      </c>
      <c r="Q9" s="483" t="s">
        <v>411</v>
      </c>
      <c r="R9" s="484">
        <f>S9</f>
        <v>17</v>
      </c>
      <c r="S9" s="456">
        <v>17</v>
      </c>
    </row>
    <row r="10" spans="1:19" ht="15.75">
      <c r="A10" s="126"/>
      <c r="B10" s="109"/>
      <c r="C10" s="109"/>
      <c r="D10" s="109"/>
      <c r="E10" s="109"/>
      <c r="F10" s="109"/>
      <c r="G10" s="109"/>
      <c r="H10" s="128"/>
      <c r="I10" s="128"/>
      <c r="J10" s="128"/>
      <c r="K10" s="109"/>
      <c r="L10" s="109"/>
      <c r="M10" s="109"/>
      <c r="N10" s="109"/>
      <c r="Q10" s="531" t="s">
        <v>414</v>
      </c>
      <c r="R10" s="532" t="str">
        <f>"0"&amp;S10</f>
        <v>016</v>
      </c>
      <c r="S10" s="456">
        <v>16</v>
      </c>
    </row>
    <row r="11" spans="1:19" ht="15.75">
      <c r="A11" s="108" t="s">
        <v>301</v>
      </c>
      <c r="B11" s="109"/>
      <c r="C11" s="109"/>
      <c r="D11" s="109"/>
      <c r="E11" s="109"/>
      <c r="F11" s="109"/>
      <c r="G11" s="109"/>
      <c r="H11" s="128"/>
      <c r="I11" s="128"/>
      <c r="J11" s="128"/>
      <c r="K11" s="109"/>
      <c r="L11" s="109"/>
      <c r="M11" s="109"/>
      <c r="N11" s="109"/>
    </row>
    <row r="12" spans="1:19" ht="15.75">
      <c r="A12" s="126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9" ht="15.75">
      <c r="A13" s="126" t="s">
        <v>342</v>
      </c>
      <c r="B13" s="109">
        <v>107954</v>
      </c>
      <c r="C13" s="116">
        <v>77017.75</v>
      </c>
      <c r="D13" s="109">
        <v>173636</v>
      </c>
      <c r="E13" s="133">
        <v>233314.95</v>
      </c>
      <c r="F13" s="109">
        <v>237693</v>
      </c>
      <c r="G13" s="109">
        <v>172414.5</v>
      </c>
      <c r="H13" s="109">
        <v>172899.20000000001</v>
      </c>
      <c r="I13" s="109"/>
      <c r="J13" s="109"/>
      <c r="K13" s="109"/>
      <c r="L13" s="109"/>
      <c r="M13" s="109"/>
      <c r="N13" s="109">
        <f>SUM(B13:M13)</f>
        <v>1174929.3999999999</v>
      </c>
    </row>
    <row r="14" spans="1:19" ht="15.75">
      <c r="A14" s="126" t="s">
        <v>343</v>
      </c>
      <c r="B14" s="109">
        <v>3900</v>
      </c>
      <c r="C14" s="116">
        <v>2962.5</v>
      </c>
      <c r="D14" s="109">
        <v>2537.5</v>
      </c>
      <c r="E14" s="133">
        <v>4375</v>
      </c>
      <c r="F14" s="109">
        <v>1605</v>
      </c>
      <c r="G14" s="109">
        <v>3100</v>
      </c>
      <c r="H14" s="109">
        <v>3419.5</v>
      </c>
      <c r="I14" s="109"/>
      <c r="J14" s="109"/>
      <c r="K14" s="109"/>
      <c r="L14" s="109"/>
      <c r="M14" s="109"/>
      <c r="N14" s="109">
        <f>SUM(B14:M14)</f>
        <v>21899.5</v>
      </c>
    </row>
    <row r="15" spans="1:19" ht="15.75">
      <c r="A15" s="126" t="s">
        <v>344</v>
      </c>
      <c r="B15" s="109">
        <v>10725</v>
      </c>
      <c r="C15" s="116">
        <v>12492.5</v>
      </c>
      <c r="D15" s="109">
        <v>17802.5</v>
      </c>
      <c r="E15" s="133">
        <v>14972.5</v>
      </c>
      <c r="F15" s="109">
        <v>12240</v>
      </c>
      <c r="G15" s="109">
        <v>8505</v>
      </c>
      <c r="H15" s="109">
        <v>11433.5</v>
      </c>
      <c r="I15" s="109"/>
      <c r="J15" s="109"/>
      <c r="K15" s="109"/>
      <c r="L15" s="109"/>
      <c r="M15" s="109"/>
      <c r="N15" s="109">
        <f>SUM(B15:M15)</f>
        <v>88171</v>
      </c>
    </row>
    <row r="16" spans="1:19" ht="15.75">
      <c r="A16" s="126"/>
      <c r="B16" s="109"/>
      <c r="C16" s="109"/>
      <c r="D16" s="141"/>
      <c r="E16" s="141"/>
      <c r="F16" s="141"/>
      <c r="G16" s="141"/>
      <c r="H16" s="128"/>
      <c r="I16" s="128"/>
      <c r="J16" s="128"/>
      <c r="K16" s="109"/>
      <c r="L16" s="109"/>
      <c r="M16" s="109"/>
      <c r="N16" s="109"/>
    </row>
    <row r="17" spans="1:14" ht="15.75">
      <c r="A17" s="126"/>
      <c r="B17" s="109"/>
      <c r="C17" s="109"/>
      <c r="D17" s="109"/>
      <c r="E17" s="109"/>
      <c r="F17" s="109"/>
      <c r="G17" s="109"/>
      <c r="H17" s="128"/>
      <c r="I17" s="128"/>
      <c r="J17" s="128"/>
      <c r="K17" s="109"/>
      <c r="L17" s="109"/>
      <c r="M17" s="109"/>
      <c r="N17" s="109"/>
    </row>
    <row r="18" spans="1:14" ht="15.75">
      <c r="A18" s="110" t="s">
        <v>296</v>
      </c>
      <c r="B18" s="118">
        <f t="shared" ref="B18:M18" si="1">SUM(B12:B17)</f>
        <v>122579</v>
      </c>
      <c r="C18" s="118">
        <f t="shared" si="1"/>
        <v>92472.75</v>
      </c>
      <c r="D18" s="118">
        <f t="shared" si="1"/>
        <v>193976</v>
      </c>
      <c r="E18" s="118">
        <f t="shared" si="1"/>
        <v>252662.45</v>
      </c>
      <c r="F18" s="118">
        <f t="shared" si="1"/>
        <v>251538</v>
      </c>
      <c r="G18" s="118">
        <f t="shared" si="1"/>
        <v>184019.5</v>
      </c>
      <c r="H18" s="118">
        <f t="shared" si="1"/>
        <v>187752.2</v>
      </c>
      <c r="I18" s="118">
        <f t="shared" si="1"/>
        <v>0</v>
      </c>
      <c r="J18" s="118">
        <f t="shared" si="1"/>
        <v>0</v>
      </c>
      <c r="K18" s="118">
        <f t="shared" si="1"/>
        <v>0</v>
      </c>
      <c r="L18" s="118">
        <f t="shared" si="1"/>
        <v>0</v>
      </c>
      <c r="M18" s="118">
        <f t="shared" si="1"/>
        <v>0</v>
      </c>
      <c r="N18" s="118">
        <f>SUM(N12:N17)</f>
        <v>1284999.8999999999</v>
      </c>
    </row>
    <row r="19" spans="1:14" ht="15.75">
      <c r="A19" s="126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</row>
    <row r="20" spans="1:14" ht="15.75">
      <c r="A20" s="108" t="s">
        <v>295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spans="1:14" ht="15.75">
      <c r="A21" s="142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</row>
    <row r="22" spans="1:14" s="495" customFormat="1" ht="15.75">
      <c r="A22" s="142" t="s">
        <v>345</v>
      </c>
      <c r="B22" s="116">
        <v>0</v>
      </c>
      <c r="C22" s="116">
        <v>0</v>
      </c>
      <c r="D22" s="116">
        <v>0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>
        <f>SUM(B22:M22)</f>
        <v>0</v>
      </c>
    </row>
    <row r="23" spans="1:14" ht="15.75">
      <c r="A23" s="135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</row>
    <row r="24" spans="1:14" ht="15.75">
      <c r="A24" s="135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14" ht="15.75">
      <c r="A25" s="108" t="s">
        <v>293</v>
      </c>
      <c r="B25" s="118">
        <f t="shared" ref="B25:M25" si="2">SUM(B21:B24)</f>
        <v>0</v>
      </c>
      <c r="C25" s="118">
        <f t="shared" si="2"/>
        <v>0</v>
      </c>
      <c r="D25" s="118">
        <f t="shared" si="2"/>
        <v>0</v>
      </c>
      <c r="E25" s="118">
        <f t="shared" si="2"/>
        <v>0</v>
      </c>
      <c r="F25" s="118">
        <f t="shared" si="2"/>
        <v>0</v>
      </c>
      <c r="G25" s="118">
        <f t="shared" si="2"/>
        <v>0</v>
      </c>
      <c r="H25" s="118">
        <f t="shared" si="2"/>
        <v>0</v>
      </c>
      <c r="I25" s="118">
        <f t="shared" si="2"/>
        <v>0</v>
      </c>
      <c r="J25" s="118">
        <f t="shared" si="2"/>
        <v>0</v>
      </c>
      <c r="K25" s="118">
        <f t="shared" si="2"/>
        <v>0</v>
      </c>
      <c r="L25" s="118">
        <f t="shared" si="2"/>
        <v>0</v>
      </c>
      <c r="M25" s="118">
        <f t="shared" si="2"/>
        <v>0</v>
      </c>
      <c r="N25" s="118">
        <f>SUM(B25:M25)</f>
        <v>0</v>
      </c>
    </row>
    <row r="26" spans="1:14" ht="15.75">
      <c r="A26" s="126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4" ht="16.5" thickBot="1">
      <c r="A27" s="544" t="s">
        <v>292</v>
      </c>
      <c r="B27" s="121">
        <f t="shared" ref="B27:M27" si="3">+B9+B18+B25</f>
        <v>122579</v>
      </c>
      <c r="C27" s="121">
        <f t="shared" si="3"/>
        <v>92472.75</v>
      </c>
      <c r="D27" s="121">
        <f t="shared" si="3"/>
        <v>193976</v>
      </c>
      <c r="E27" s="121">
        <f t="shared" si="3"/>
        <v>252662.45</v>
      </c>
      <c r="F27" s="121">
        <f t="shared" si="3"/>
        <v>251538</v>
      </c>
      <c r="G27" s="121">
        <f t="shared" si="3"/>
        <v>184019.5</v>
      </c>
      <c r="H27" s="121">
        <f t="shared" si="3"/>
        <v>187752.2</v>
      </c>
      <c r="I27" s="121">
        <f t="shared" si="3"/>
        <v>0</v>
      </c>
      <c r="J27" s="121">
        <f t="shared" si="3"/>
        <v>0</v>
      </c>
      <c r="K27" s="121">
        <f t="shared" si="3"/>
        <v>0</v>
      </c>
      <c r="L27" s="121">
        <f t="shared" si="3"/>
        <v>0</v>
      </c>
      <c r="M27" s="121">
        <f t="shared" si="3"/>
        <v>0</v>
      </c>
      <c r="N27" s="121">
        <f>+N18+N25</f>
        <v>1284999.8999999999</v>
      </c>
    </row>
    <row r="28" spans="1:14" ht="16.5" thickTop="1">
      <c r="A28" s="136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15.75">
      <c r="A29" s="136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5.75">
      <c r="A30" s="136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5.75">
      <c r="A31" s="136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ht="15.75">
      <c r="A32" s="136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15.75">
      <c r="A33" s="136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5.75">
      <c r="A34" s="136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15.75">
      <c r="A35" s="136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.75">
      <c r="A36" s="136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5.75">
      <c r="A37" s="136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5.75">
      <c r="A38" s="136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.75">
      <c r="A39" s="136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15.75">
      <c r="A40" s="136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5.75">
      <c r="A41" s="13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14" ht="15.75">
      <c r="A42" s="136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14" ht="15.75">
      <c r="A43" s="136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14" ht="15.75">
      <c r="A44" s="136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14" ht="15.75">
      <c r="A45" s="136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89"/>
  <sheetViews>
    <sheetView zoomScale="80" zoomScaleNormal="80" zoomScaleSheetLayoutView="80" workbookViewId="0">
      <pane ySplit="6" topLeftCell="A7" activePane="bottomLeft" state="frozen"/>
      <selection activeCell="H23" sqref="H23"/>
      <selection pane="bottomLeft" activeCell="H23" sqref="H23"/>
    </sheetView>
  </sheetViews>
  <sheetFormatPr defaultColWidth="11.42578125" defaultRowHeight="16.5"/>
  <cols>
    <col min="1" max="1" width="9.85546875" style="11" customWidth="1"/>
    <col min="2" max="2" width="53.140625" style="11" bestFit="1" customWidth="1"/>
    <col min="3" max="3" width="16.85546875" style="11" bestFit="1" customWidth="1"/>
    <col min="4" max="4" width="17.7109375" style="11" bestFit="1" customWidth="1"/>
    <col min="5" max="5" width="15.5703125" style="11" customWidth="1"/>
    <col min="6" max="7" width="17" style="12" customWidth="1"/>
    <col min="8" max="8" width="8.85546875" style="12" customWidth="1"/>
    <col min="9" max="9" width="16.85546875" style="11" bestFit="1" customWidth="1"/>
    <col min="10" max="11" width="15.5703125" style="11" bestFit="1" customWidth="1"/>
    <col min="12" max="12" width="16.85546875" style="11" bestFit="1" customWidth="1"/>
    <col min="13" max="13" width="17.7109375" style="11" bestFit="1" customWidth="1"/>
    <col min="14" max="14" width="13.7109375" style="11" bestFit="1" customWidth="1"/>
    <col min="15" max="16384" width="11.42578125" style="11"/>
  </cols>
  <sheetData>
    <row r="1" spans="1:14" s="10" customFormat="1" ht="15.75">
      <c r="A1" s="273" t="s">
        <v>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4" s="9" customFormat="1" ht="15.75">
      <c r="A2" s="274" t="s">
        <v>259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4" s="9" customFormat="1" ht="15.75">
      <c r="A3" s="194" t="s">
        <v>419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4" s="9" customFormat="1" ht="15.75">
      <c r="A4" s="19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4" s="8" customFormat="1" ht="15.75">
      <c r="A5" s="275"/>
      <c r="B5" s="275"/>
      <c r="C5" s="275"/>
      <c r="D5" s="275"/>
      <c r="E5" s="275"/>
      <c r="F5" s="276"/>
      <c r="G5" s="276"/>
      <c r="H5" s="276"/>
      <c r="I5" s="275"/>
      <c r="J5" s="275"/>
      <c r="K5" s="275"/>
      <c r="L5" s="275"/>
    </row>
    <row r="6" spans="1:14" s="28" customFormat="1" ht="32.25" customHeight="1">
      <c r="A6" s="277"/>
      <c r="B6" s="277" t="s">
        <v>41</v>
      </c>
      <c r="C6" s="277" t="s">
        <v>31</v>
      </c>
      <c r="D6" s="277" t="s">
        <v>169</v>
      </c>
      <c r="E6" s="277" t="s">
        <v>173</v>
      </c>
      <c r="F6" s="277" t="s">
        <v>251</v>
      </c>
      <c r="G6" s="277" t="s">
        <v>168</v>
      </c>
      <c r="H6" s="277" t="s">
        <v>33</v>
      </c>
      <c r="I6" s="277" t="s">
        <v>49</v>
      </c>
      <c r="J6" s="277" t="s">
        <v>50</v>
      </c>
      <c r="K6" s="277" t="s">
        <v>34</v>
      </c>
      <c r="L6" s="277" t="s">
        <v>35</v>
      </c>
      <c r="M6" s="278"/>
    </row>
    <row r="7" spans="1:14" s="29" customFormat="1" ht="18" customHeight="1">
      <c r="A7" s="577" t="s">
        <v>42</v>
      </c>
      <c r="B7" s="578"/>
      <c r="C7" s="279"/>
      <c r="D7" s="279"/>
      <c r="E7" s="280"/>
      <c r="F7" s="280"/>
      <c r="G7" s="280"/>
      <c r="H7" s="280"/>
      <c r="I7" s="279"/>
      <c r="J7" s="279"/>
      <c r="K7" s="279"/>
      <c r="L7" s="279"/>
      <c r="M7" s="281"/>
    </row>
    <row r="8" spans="1:14" s="29" customFormat="1" ht="18" customHeight="1">
      <c r="A8" s="282" t="s">
        <v>234</v>
      </c>
      <c r="B8" s="283" t="s">
        <v>177</v>
      </c>
      <c r="C8" s="284">
        <v>10594848</v>
      </c>
      <c r="D8" s="284">
        <f>I8-C8</f>
        <v>2037153</v>
      </c>
      <c r="E8" s="284">
        <v>2037153</v>
      </c>
      <c r="F8" s="285" t="s">
        <v>402</v>
      </c>
      <c r="G8" s="284">
        <v>0</v>
      </c>
      <c r="H8" s="285"/>
      <c r="I8" s="284">
        <v>12632001</v>
      </c>
      <c r="J8" s="284">
        <v>4088114.4800000004</v>
      </c>
      <c r="K8" s="284">
        <v>12632001</v>
      </c>
      <c r="L8" s="284">
        <v>0</v>
      </c>
      <c r="M8" s="286">
        <f>E8+G8-D8</f>
        <v>0</v>
      </c>
      <c r="N8" s="30"/>
    </row>
    <row r="9" spans="1:14" s="29" customFormat="1" ht="18" customHeight="1">
      <c r="A9" s="282" t="s">
        <v>235</v>
      </c>
      <c r="B9" s="283" t="s">
        <v>178</v>
      </c>
      <c r="C9" s="284">
        <f>7793465</f>
        <v>7793465</v>
      </c>
      <c r="D9" s="284">
        <f t="shared" ref="D9:D20" si="0">I9-C9</f>
        <v>24978808</v>
      </c>
      <c r="E9" s="284">
        <v>24978808</v>
      </c>
      <c r="F9" s="285" t="s">
        <v>286</v>
      </c>
      <c r="G9" s="284">
        <v>0</v>
      </c>
      <c r="H9" s="285"/>
      <c r="I9" s="284">
        <v>32772273</v>
      </c>
      <c r="J9" s="284">
        <v>445876.1999999999</v>
      </c>
      <c r="K9" s="284">
        <v>10911361</v>
      </c>
      <c r="L9" s="284">
        <v>21860912</v>
      </c>
      <c r="M9" s="286">
        <f t="shared" ref="M9:M30" si="1">E9+G9-D9</f>
        <v>0</v>
      </c>
      <c r="N9" s="143"/>
    </row>
    <row r="10" spans="1:14" s="29" customFormat="1" ht="18" customHeight="1">
      <c r="A10" s="282" t="s">
        <v>236</v>
      </c>
      <c r="B10" s="283" t="s">
        <v>179</v>
      </c>
      <c r="C10" s="284">
        <v>2374352</v>
      </c>
      <c r="D10" s="284">
        <f t="shared" si="0"/>
        <v>154111</v>
      </c>
      <c r="E10" s="284">
        <v>154111</v>
      </c>
      <c r="F10" s="285" t="s">
        <v>396</v>
      </c>
      <c r="G10" s="284">
        <v>0</v>
      </c>
      <c r="H10" s="285"/>
      <c r="I10" s="284">
        <v>2528463</v>
      </c>
      <c r="J10" s="284">
        <v>2308579.1899999995</v>
      </c>
      <c r="K10" s="284">
        <v>2528463</v>
      </c>
      <c r="L10" s="284">
        <v>0</v>
      </c>
      <c r="M10" s="286">
        <f t="shared" si="1"/>
        <v>0</v>
      </c>
    </row>
    <row r="11" spans="1:14" s="29" customFormat="1" ht="18" customHeight="1">
      <c r="A11" s="282" t="s">
        <v>237</v>
      </c>
      <c r="B11" s="283" t="s">
        <v>180</v>
      </c>
      <c r="C11" s="284">
        <v>886093</v>
      </c>
      <c r="D11" s="284">
        <f>I11-C11</f>
        <v>6299179</v>
      </c>
      <c r="E11" s="284">
        <v>6299179</v>
      </c>
      <c r="F11" s="287" t="s">
        <v>287</v>
      </c>
      <c r="G11" s="284">
        <v>0</v>
      </c>
      <c r="H11" s="287"/>
      <c r="I11" s="284">
        <v>7185272</v>
      </c>
      <c r="J11" s="284">
        <v>790262.32000000007</v>
      </c>
      <c r="K11" s="284">
        <v>4185272</v>
      </c>
      <c r="L11" s="284">
        <v>3000000</v>
      </c>
      <c r="M11" s="286">
        <f>E11+G11-D11</f>
        <v>0</v>
      </c>
    </row>
    <row r="12" spans="1:14" s="29" customFormat="1" ht="18" customHeight="1">
      <c r="A12" s="282" t="s">
        <v>238</v>
      </c>
      <c r="B12" s="283" t="s">
        <v>181</v>
      </c>
      <c r="C12" s="284">
        <v>10549157</v>
      </c>
      <c r="D12" s="284">
        <f t="shared" si="0"/>
        <v>6164009</v>
      </c>
      <c r="E12" s="284">
        <v>6164009</v>
      </c>
      <c r="F12" s="285" t="s">
        <v>286</v>
      </c>
      <c r="G12" s="284">
        <v>0</v>
      </c>
      <c r="H12" s="285"/>
      <c r="I12" s="284">
        <v>16713166</v>
      </c>
      <c r="J12" s="284">
        <v>4280090.0000000037</v>
      </c>
      <c r="K12" s="284">
        <v>16713166</v>
      </c>
      <c r="L12" s="284">
        <v>0</v>
      </c>
      <c r="M12" s="286">
        <f t="shared" si="1"/>
        <v>0</v>
      </c>
    </row>
    <row r="13" spans="1:14" s="29" customFormat="1" ht="18" customHeight="1">
      <c r="A13" s="282" t="s">
        <v>239</v>
      </c>
      <c r="B13" s="283" t="s">
        <v>220</v>
      </c>
      <c r="C13" s="284">
        <v>504897</v>
      </c>
      <c r="D13" s="284">
        <f t="shared" si="0"/>
        <v>146306</v>
      </c>
      <c r="E13" s="284">
        <v>146306</v>
      </c>
      <c r="F13" s="285" t="s">
        <v>286</v>
      </c>
      <c r="G13" s="284">
        <v>0</v>
      </c>
      <c r="H13" s="285"/>
      <c r="I13" s="284">
        <v>651203</v>
      </c>
      <c r="J13" s="284">
        <v>169443.00000000006</v>
      </c>
      <c r="K13" s="284">
        <v>651203</v>
      </c>
      <c r="L13" s="284">
        <v>0</v>
      </c>
      <c r="M13" s="286">
        <f t="shared" si="1"/>
        <v>0</v>
      </c>
    </row>
    <row r="14" spans="1:14" s="29" customFormat="1" ht="18" customHeight="1">
      <c r="A14" s="282" t="s">
        <v>240</v>
      </c>
      <c r="B14" s="283" t="s">
        <v>265</v>
      </c>
      <c r="C14" s="284">
        <v>736760</v>
      </c>
      <c r="D14" s="284">
        <f t="shared" si="0"/>
        <v>1964000</v>
      </c>
      <c r="E14" s="284">
        <v>1964000</v>
      </c>
      <c r="F14" s="285" t="s">
        <v>287</v>
      </c>
      <c r="G14" s="284">
        <v>0</v>
      </c>
      <c r="H14" s="285"/>
      <c r="I14" s="284">
        <v>2700760</v>
      </c>
      <c r="J14" s="284">
        <v>0</v>
      </c>
      <c r="K14" s="284">
        <v>2700760</v>
      </c>
      <c r="L14" s="284">
        <v>0</v>
      </c>
      <c r="M14" s="286">
        <f>E14+G14-D14</f>
        <v>0</v>
      </c>
    </row>
    <row r="15" spans="1:14" s="29" customFormat="1" ht="18" customHeight="1">
      <c r="A15" s="282" t="s">
        <v>241</v>
      </c>
      <c r="B15" s="283" t="s">
        <v>222</v>
      </c>
      <c r="C15" s="284">
        <v>354585</v>
      </c>
      <c r="D15" s="284">
        <f t="shared" si="0"/>
        <v>1292704</v>
      </c>
      <c r="E15" s="284">
        <v>1292704</v>
      </c>
      <c r="F15" s="285" t="s">
        <v>286</v>
      </c>
      <c r="G15" s="284">
        <v>0</v>
      </c>
      <c r="H15" s="285"/>
      <c r="I15" s="284">
        <v>1647289</v>
      </c>
      <c r="J15" s="284">
        <v>0</v>
      </c>
      <c r="K15" s="284">
        <v>191562</v>
      </c>
      <c r="L15" s="284">
        <v>1455727</v>
      </c>
      <c r="M15" s="286">
        <f>E15+G15-D15</f>
        <v>0</v>
      </c>
    </row>
    <row r="16" spans="1:14" s="29" customFormat="1" ht="18" customHeight="1">
      <c r="A16" s="282" t="s">
        <v>242</v>
      </c>
      <c r="B16" s="283" t="s">
        <v>221</v>
      </c>
      <c r="C16" s="284">
        <v>0</v>
      </c>
      <c r="D16" s="284">
        <f t="shared" si="0"/>
        <v>2738698</v>
      </c>
      <c r="E16" s="284">
        <v>2738698</v>
      </c>
      <c r="F16" s="287" t="s">
        <v>286</v>
      </c>
      <c r="G16" s="284">
        <v>0</v>
      </c>
      <c r="H16" s="287"/>
      <c r="I16" s="284">
        <v>2738698</v>
      </c>
      <c r="J16" s="284">
        <v>821075.64000000013</v>
      </c>
      <c r="K16" s="284">
        <v>2738698</v>
      </c>
      <c r="L16" s="284">
        <v>0</v>
      </c>
      <c r="M16" s="286">
        <f t="shared" si="1"/>
        <v>0</v>
      </c>
    </row>
    <row r="17" spans="1:13" s="29" customFormat="1" ht="18" customHeight="1">
      <c r="A17" s="282" t="s">
        <v>243</v>
      </c>
      <c r="B17" s="283" t="s">
        <v>223</v>
      </c>
      <c r="C17" s="284">
        <v>0</v>
      </c>
      <c r="D17" s="284">
        <f t="shared" si="0"/>
        <v>1092389</v>
      </c>
      <c r="E17" s="284">
        <v>1092389</v>
      </c>
      <c r="F17" s="287" t="s">
        <v>287</v>
      </c>
      <c r="G17" s="284">
        <v>0</v>
      </c>
      <c r="H17" s="287"/>
      <c r="I17" s="284">
        <v>1092389</v>
      </c>
      <c r="J17" s="284">
        <v>0</v>
      </c>
      <c r="K17" s="284">
        <v>1092389</v>
      </c>
      <c r="L17" s="284">
        <v>0</v>
      </c>
      <c r="M17" s="286">
        <f t="shared" si="1"/>
        <v>0</v>
      </c>
    </row>
    <row r="18" spans="1:13" s="31" customFormat="1" ht="18" customHeight="1">
      <c r="A18" s="282" t="s">
        <v>244</v>
      </c>
      <c r="B18" s="283" t="s">
        <v>224</v>
      </c>
      <c r="C18" s="284">
        <v>450000</v>
      </c>
      <c r="D18" s="284">
        <f t="shared" si="0"/>
        <v>413007</v>
      </c>
      <c r="E18" s="284">
        <v>413007</v>
      </c>
      <c r="F18" s="287" t="s">
        <v>286</v>
      </c>
      <c r="G18" s="284">
        <v>0</v>
      </c>
      <c r="H18" s="287"/>
      <c r="I18" s="284">
        <v>863007</v>
      </c>
      <c r="J18" s="284">
        <v>104639.99999999994</v>
      </c>
      <c r="K18" s="284">
        <v>863007</v>
      </c>
      <c r="L18" s="284">
        <v>0</v>
      </c>
      <c r="M18" s="286">
        <f t="shared" si="1"/>
        <v>0</v>
      </c>
    </row>
    <row r="19" spans="1:13" s="31" customFormat="1" ht="18" customHeight="1">
      <c r="A19" s="282" t="s">
        <v>245</v>
      </c>
      <c r="B19" s="283" t="s">
        <v>132</v>
      </c>
      <c r="C19" s="284">
        <v>6188796</v>
      </c>
      <c r="D19" s="284">
        <f t="shared" si="0"/>
        <v>1981757</v>
      </c>
      <c r="E19" s="284">
        <v>1981757</v>
      </c>
      <c r="F19" s="287" t="s">
        <v>402</v>
      </c>
      <c r="G19" s="284">
        <v>0</v>
      </c>
      <c r="H19" s="287"/>
      <c r="I19" s="284">
        <v>8170553</v>
      </c>
      <c r="J19" s="284">
        <v>2214237.9400000013</v>
      </c>
      <c r="K19" s="284">
        <v>8170553</v>
      </c>
      <c r="L19" s="284">
        <v>0</v>
      </c>
      <c r="M19" s="286">
        <f t="shared" si="1"/>
        <v>0</v>
      </c>
    </row>
    <row r="20" spans="1:13" s="31" customFormat="1" ht="15.75">
      <c r="A20" s="282" t="s">
        <v>290</v>
      </c>
      <c r="B20" s="283" t="s">
        <v>346</v>
      </c>
      <c r="C20" s="284">
        <v>0</v>
      </c>
      <c r="D20" s="284">
        <f t="shared" si="0"/>
        <v>1410607</v>
      </c>
      <c r="E20" s="284">
        <v>1410607</v>
      </c>
      <c r="F20" s="287" t="s">
        <v>286</v>
      </c>
      <c r="G20" s="284">
        <v>0</v>
      </c>
      <c r="H20" s="287"/>
      <c r="I20" s="284">
        <v>1410607</v>
      </c>
      <c r="J20" s="284">
        <v>0</v>
      </c>
      <c r="K20" s="284">
        <v>1410607</v>
      </c>
      <c r="L20" s="284">
        <v>0</v>
      </c>
      <c r="M20" s="286">
        <f t="shared" si="1"/>
        <v>0</v>
      </c>
    </row>
    <row r="21" spans="1:13" s="32" customFormat="1" ht="18" customHeight="1">
      <c r="A21" s="288" t="s">
        <v>257</v>
      </c>
      <c r="B21" s="289"/>
      <c r="C21" s="290">
        <f>SUM(C8:C20)</f>
        <v>40432953</v>
      </c>
      <c r="D21" s="290">
        <f>SUM(D8:D20)</f>
        <v>50672728</v>
      </c>
      <c r="E21" s="290">
        <v>50672728</v>
      </c>
      <c r="F21" s="290"/>
      <c r="G21" s="290">
        <f>SUM(G8:G20)</f>
        <v>0</v>
      </c>
      <c r="H21" s="290"/>
      <c r="I21" s="290">
        <f>SUM(I8:I20)</f>
        <v>91105681</v>
      </c>
      <c r="J21" s="290">
        <f>SUM(J8:J20)</f>
        <v>15222318.770000007</v>
      </c>
      <c r="K21" s="290">
        <f>SUM(K8:K20)</f>
        <v>64789042</v>
      </c>
      <c r="L21" s="290">
        <f>SUM(L8:L20)</f>
        <v>26316639</v>
      </c>
      <c r="M21" s="286">
        <f t="shared" si="1"/>
        <v>0</v>
      </c>
    </row>
    <row r="22" spans="1:13" s="33" customFormat="1" ht="18" customHeight="1">
      <c r="A22" s="291"/>
      <c r="B22" s="292"/>
      <c r="C22" s="291"/>
      <c r="D22" s="291"/>
      <c r="E22" s="293"/>
      <c r="F22" s="294"/>
      <c r="G22" s="295"/>
      <c r="H22" s="294"/>
      <c r="I22" s="291"/>
      <c r="J22" s="291"/>
      <c r="K22" s="291"/>
      <c r="L22" s="291"/>
      <c r="M22" s="286">
        <f t="shared" si="1"/>
        <v>0</v>
      </c>
    </row>
    <row r="23" spans="1:13" s="31" customFormat="1" ht="18" customHeight="1" thickBot="1">
      <c r="A23" s="296" t="s">
        <v>258</v>
      </c>
      <c r="B23" s="297"/>
      <c r="C23" s="298">
        <f>C21</f>
        <v>40432953</v>
      </c>
      <c r="D23" s="298">
        <f t="shared" ref="D23:L23" si="2">D21</f>
        <v>50672728</v>
      </c>
      <c r="E23" s="298">
        <v>50672728</v>
      </c>
      <c r="F23" s="298"/>
      <c r="G23" s="298">
        <f t="shared" si="2"/>
        <v>0</v>
      </c>
      <c r="H23" s="298"/>
      <c r="I23" s="298">
        <f t="shared" si="2"/>
        <v>91105681</v>
      </c>
      <c r="J23" s="298">
        <f t="shared" si="2"/>
        <v>15222318.770000007</v>
      </c>
      <c r="K23" s="298">
        <f t="shared" si="2"/>
        <v>64789042</v>
      </c>
      <c r="L23" s="298">
        <f t="shared" si="2"/>
        <v>26316639</v>
      </c>
      <c r="M23" s="286">
        <f t="shared" si="1"/>
        <v>0</v>
      </c>
    </row>
    <row r="24" spans="1:13" s="31" customFormat="1" ht="18" customHeight="1" thickTop="1">
      <c r="A24" s="291"/>
      <c r="B24" s="292"/>
      <c r="C24" s="291"/>
      <c r="D24" s="291"/>
      <c r="E24" s="293"/>
      <c r="F24" s="294"/>
      <c r="G24" s="295"/>
      <c r="H24" s="294"/>
      <c r="I24" s="291"/>
      <c r="J24" s="291"/>
      <c r="K24" s="291"/>
      <c r="L24" s="291"/>
      <c r="M24" s="286">
        <f t="shared" si="1"/>
        <v>0</v>
      </c>
    </row>
    <row r="25" spans="1:13" s="29" customFormat="1" ht="18" customHeight="1">
      <c r="A25" s="291"/>
      <c r="B25" s="292"/>
      <c r="C25" s="291"/>
      <c r="D25" s="291"/>
      <c r="E25" s="293"/>
      <c r="F25" s="294"/>
      <c r="G25" s="295"/>
      <c r="H25" s="294"/>
      <c r="I25" s="291"/>
      <c r="J25" s="291"/>
      <c r="K25" s="291"/>
      <c r="L25" s="291"/>
      <c r="M25" s="286">
        <f t="shared" si="1"/>
        <v>0</v>
      </c>
    </row>
    <row r="26" spans="1:13" s="34" customFormat="1" ht="18" customHeight="1">
      <c r="A26" s="299" t="s">
        <v>43</v>
      </c>
      <c r="B26" s="300"/>
      <c r="C26" s="301"/>
      <c r="D26" s="301"/>
      <c r="E26" s="301"/>
      <c r="F26" s="302"/>
      <c r="G26" s="303"/>
      <c r="H26" s="302"/>
      <c r="I26" s="301"/>
      <c r="J26" s="301"/>
      <c r="K26" s="301"/>
      <c r="L26" s="301"/>
      <c r="M26" s="286">
        <f t="shared" si="1"/>
        <v>0</v>
      </c>
    </row>
    <row r="27" spans="1:13" s="35" customFormat="1" ht="18" customHeight="1">
      <c r="A27" s="304" t="s">
        <v>4</v>
      </c>
      <c r="B27" s="305"/>
      <c r="C27" s="284">
        <v>24933685</v>
      </c>
      <c r="D27" s="284">
        <f>I27-C27</f>
        <v>42239487</v>
      </c>
      <c r="E27" s="284">
        <v>42239487</v>
      </c>
      <c r="F27" s="285"/>
      <c r="G27" s="284">
        <v>0</v>
      </c>
      <c r="H27" s="285"/>
      <c r="I27" s="284">
        <v>67173172</v>
      </c>
      <c r="J27" s="284">
        <v>11178861.639999997</v>
      </c>
      <c r="K27" s="284">
        <v>43796609</v>
      </c>
      <c r="L27" s="284">
        <v>23376563</v>
      </c>
      <c r="M27" s="286">
        <f>E27+G27-D27</f>
        <v>0</v>
      </c>
    </row>
    <row r="28" spans="1:13" s="29" customFormat="1" ht="18" customHeight="1">
      <c r="A28" s="306"/>
      <c r="B28" s="305" t="s">
        <v>39</v>
      </c>
      <c r="C28" s="307">
        <f>C27</f>
        <v>24933685</v>
      </c>
      <c r="D28" s="307">
        <f>D27</f>
        <v>42239487</v>
      </c>
      <c r="E28" s="307">
        <v>42239487</v>
      </c>
      <c r="F28" s="308"/>
      <c r="G28" s="307">
        <f>G27</f>
        <v>0</v>
      </c>
      <c r="H28" s="308"/>
      <c r="I28" s="307">
        <f>I27</f>
        <v>67173172</v>
      </c>
      <c r="J28" s="307">
        <f>J27</f>
        <v>11178861.639999997</v>
      </c>
      <c r="K28" s="307">
        <f>K27</f>
        <v>43796609</v>
      </c>
      <c r="L28" s="307">
        <f>L27</f>
        <v>23376563</v>
      </c>
      <c r="M28" s="286">
        <f t="shared" si="1"/>
        <v>0</v>
      </c>
    </row>
    <row r="29" spans="1:13" s="29" customFormat="1" ht="18" customHeight="1">
      <c r="A29" s="309" t="s">
        <v>6</v>
      </c>
      <c r="B29" s="305"/>
      <c r="C29" s="284">
        <v>15499268</v>
      </c>
      <c r="D29" s="284">
        <f>I29-C29</f>
        <v>8433241</v>
      </c>
      <c r="E29" s="284">
        <v>8433241</v>
      </c>
      <c r="F29" s="285"/>
      <c r="G29" s="284">
        <v>0</v>
      </c>
      <c r="H29" s="285"/>
      <c r="I29" s="284">
        <v>23932509</v>
      </c>
      <c r="J29" s="284">
        <v>4043457.13</v>
      </c>
      <c r="K29" s="284">
        <v>20992433</v>
      </c>
      <c r="L29" s="310">
        <v>2940076</v>
      </c>
      <c r="M29" s="286">
        <f t="shared" si="1"/>
        <v>0</v>
      </c>
    </row>
    <row r="30" spans="1:13" s="29" customFormat="1" ht="18" customHeight="1" thickBot="1">
      <c r="A30" s="296" t="s">
        <v>37</v>
      </c>
      <c r="B30" s="296"/>
      <c r="C30" s="298">
        <f>SUM(C28,C29)</f>
        <v>40432953</v>
      </c>
      <c r="D30" s="298">
        <f t="shared" ref="D30:L30" si="3">SUM(D28,D29)</f>
        <v>50672728</v>
      </c>
      <c r="E30" s="298">
        <v>50672728</v>
      </c>
      <c r="F30" s="298"/>
      <c r="G30" s="298">
        <f t="shared" si="3"/>
        <v>0</v>
      </c>
      <c r="H30" s="298"/>
      <c r="I30" s="298">
        <f t="shared" si="3"/>
        <v>91105681</v>
      </c>
      <c r="J30" s="298">
        <f t="shared" si="3"/>
        <v>15222318.769999996</v>
      </c>
      <c r="K30" s="298">
        <f t="shared" si="3"/>
        <v>64789042</v>
      </c>
      <c r="L30" s="298">
        <f t="shared" si="3"/>
        <v>26316639</v>
      </c>
      <c r="M30" s="286">
        <f t="shared" si="1"/>
        <v>0</v>
      </c>
    </row>
    <row r="31" spans="1:13" s="29" customFormat="1" ht="16.5" customHeight="1" thickTop="1">
      <c r="A31" s="300"/>
      <c r="B31" s="305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286"/>
    </row>
    <row r="32" spans="1:13" s="29" customFormat="1" ht="16.5" customHeight="1">
      <c r="A32" s="312" t="s">
        <v>40</v>
      </c>
      <c r="B32" s="305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281"/>
    </row>
    <row r="33" spans="1:13" s="29" customFormat="1" ht="16.5" customHeight="1">
      <c r="A33" s="313"/>
      <c r="B33" s="314"/>
      <c r="C33" s="315"/>
      <c r="D33" s="314"/>
      <c r="E33" s="314"/>
      <c r="F33" s="314"/>
      <c r="G33" s="314"/>
      <c r="H33" s="314"/>
      <c r="I33" s="314"/>
      <c r="J33" s="314"/>
      <c r="K33" s="314"/>
      <c r="L33" s="314"/>
      <c r="M33" s="281"/>
    </row>
    <row r="34" spans="1:13" s="29" customFormat="1" ht="16.5" customHeight="1">
      <c r="A34" s="313" t="s">
        <v>273</v>
      </c>
      <c r="B34" s="316" t="s">
        <v>276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281"/>
    </row>
    <row r="35" spans="1:13" s="29" customFormat="1" ht="16.5" customHeight="1">
      <c r="A35" s="313" t="s">
        <v>215</v>
      </c>
      <c r="B35" s="316" t="s">
        <v>214</v>
      </c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281"/>
    </row>
    <row r="36" spans="1:13" s="29" customFormat="1" ht="16.5" customHeight="1">
      <c r="A36" s="313" t="s">
        <v>287</v>
      </c>
      <c r="B36" s="316" t="s">
        <v>289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3" s="29" customFormat="1" ht="14.25">
      <c r="A37" s="35"/>
      <c r="B37" s="35"/>
      <c r="F37" s="37"/>
      <c r="G37" s="37"/>
      <c r="H37" s="37"/>
    </row>
    <row r="38" spans="1:13" s="29" customFormat="1" ht="14.25">
      <c r="A38" s="35"/>
      <c r="B38" s="35"/>
      <c r="F38" s="37"/>
      <c r="G38" s="37"/>
      <c r="H38" s="37"/>
    </row>
    <row r="39" spans="1:13" s="29" customFormat="1" ht="14.25">
      <c r="A39" s="61"/>
      <c r="B39" s="35"/>
      <c r="F39" s="37"/>
      <c r="G39" s="37"/>
      <c r="H39" s="37"/>
      <c r="I39" s="39"/>
    </row>
    <row r="40" spans="1:13" s="29" customFormat="1" ht="14.25">
      <c r="A40" s="61"/>
      <c r="B40" s="35"/>
      <c r="F40" s="37"/>
      <c r="G40" s="37"/>
      <c r="H40" s="37"/>
      <c r="I40" s="39"/>
    </row>
    <row r="41" spans="1:13" s="29" customFormat="1" ht="14.25">
      <c r="A41" s="61"/>
      <c r="B41" s="35"/>
      <c r="F41" s="37"/>
      <c r="G41" s="37"/>
      <c r="H41" s="37"/>
    </row>
    <row r="42" spans="1:13" s="29" customFormat="1" ht="14.25">
      <c r="A42" s="61"/>
      <c r="B42" s="35"/>
      <c r="F42" s="37"/>
      <c r="G42" s="37"/>
      <c r="H42" s="37"/>
    </row>
    <row r="43" spans="1:13" s="29" customFormat="1" ht="14.25">
      <c r="A43" s="61"/>
      <c r="B43" s="35"/>
      <c r="F43" s="37"/>
      <c r="G43" s="37"/>
      <c r="H43" s="37"/>
    </row>
    <row r="44" spans="1:13" s="29" customFormat="1" ht="14.25">
      <c r="A44" s="61"/>
      <c r="B44" s="35"/>
      <c r="F44" s="37"/>
      <c r="G44" s="37"/>
      <c r="H44" s="37"/>
    </row>
    <row r="45" spans="1:13" s="29" customFormat="1" ht="14.25">
      <c r="A45" s="61"/>
      <c r="B45" s="35"/>
      <c r="F45" s="37"/>
      <c r="G45" s="37"/>
      <c r="H45" s="37"/>
    </row>
    <row r="46" spans="1:13" s="29" customFormat="1" ht="14.25">
      <c r="A46" s="61"/>
      <c r="B46" s="35"/>
      <c r="F46" s="37"/>
      <c r="G46" s="37"/>
      <c r="H46" s="37"/>
    </row>
    <row r="47" spans="1:13" s="29" customFormat="1" ht="14.25">
      <c r="A47" s="61"/>
      <c r="B47" s="35"/>
      <c r="F47" s="37"/>
      <c r="G47" s="37"/>
      <c r="H47" s="37"/>
    </row>
    <row r="48" spans="1:13" s="29" customFormat="1" ht="14.25">
      <c r="A48" s="61"/>
      <c r="B48" s="35"/>
      <c r="F48" s="37"/>
      <c r="G48" s="37"/>
      <c r="H48" s="37"/>
    </row>
    <row r="49" spans="1:8" s="29" customFormat="1" ht="14.25">
      <c r="A49" s="61"/>
      <c r="B49" s="35"/>
      <c r="F49" s="37"/>
      <c r="G49" s="37"/>
      <c r="H49" s="37"/>
    </row>
    <row r="50" spans="1:8" s="29" customFormat="1" ht="14.25">
      <c r="A50" s="61"/>
      <c r="B50" s="35"/>
      <c r="F50" s="37"/>
      <c r="G50" s="37"/>
      <c r="H50" s="37"/>
    </row>
    <row r="51" spans="1:8" s="29" customFormat="1" ht="14.25">
      <c r="A51" s="38"/>
      <c r="F51" s="37"/>
      <c r="G51" s="37"/>
      <c r="H51" s="37"/>
    </row>
    <row r="52" spans="1:8" s="29" customFormat="1" ht="14.25">
      <c r="A52" s="38"/>
      <c r="F52" s="37"/>
      <c r="G52" s="37"/>
      <c r="H52" s="37"/>
    </row>
    <row r="53" spans="1:8" s="29" customFormat="1" ht="14.25">
      <c r="A53" s="38"/>
      <c r="F53" s="37"/>
      <c r="G53" s="37"/>
      <c r="H53" s="37"/>
    </row>
    <row r="54" spans="1:8" s="29" customFormat="1" ht="14.25">
      <c r="A54" s="38"/>
      <c r="F54" s="37"/>
      <c r="G54" s="37"/>
      <c r="H54" s="37"/>
    </row>
    <row r="55" spans="1:8" s="29" customFormat="1" ht="14.25">
      <c r="A55" s="38"/>
      <c r="F55" s="37"/>
      <c r="G55" s="37"/>
      <c r="H55" s="37"/>
    </row>
    <row r="56" spans="1:8" s="29" customFormat="1" ht="14.25">
      <c r="A56" s="38"/>
      <c r="F56" s="37"/>
      <c r="G56" s="37"/>
      <c r="H56" s="37"/>
    </row>
    <row r="57" spans="1:8" s="29" customFormat="1" ht="14.25">
      <c r="A57" s="38"/>
      <c r="F57" s="37"/>
      <c r="G57" s="37"/>
      <c r="H57" s="37"/>
    </row>
    <row r="58" spans="1:8" s="29" customFormat="1" ht="14.25">
      <c r="A58" s="38"/>
      <c r="F58" s="37"/>
      <c r="G58" s="37"/>
      <c r="H58" s="37"/>
    </row>
    <row r="59" spans="1:8" s="29" customFormat="1" ht="14.25">
      <c r="F59" s="37"/>
      <c r="G59" s="37"/>
      <c r="H59" s="37"/>
    </row>
    <row r="60" spans="1:8" s="29" customFormat="1" ht="14.25">
      <c r="F60" s="37"/>
      <c r="G60" s="37"/>
      <c r="H60" s="37"/>
    </row>
    <row r="61" spans="1:8" s="29" customFormat="1" ht="14.25">
      <c r="F61" s="37"/>
      <c r="G61" s="37"/>
      <c r="H61" s="37"/>
    </row>
    <row r="62" spans="1:8" s="29" customFormat="1" ht="14.25">
      <c r="F62" s="37"/>
      <c r="G62" s="37"/>
      <c r="H62" s="37"/>
    </row>
    <row r="63" spans="1:8" s="29" customFormat="1" ht="14.25">
      <c r="F63" s="37"/>
      <c r="G63" s="37"/>
      <c r="H63" s="37"/>
    </row>
    <row r="64" spans="1:8" s="29" customFormat="1" ht="14.25">
      <c r="F64" s="37"/>
      <c r="G64" s="37"/>
      <c r="H64" s="37"/>
    </row>
    <row r="65" spans="6:8" s="29" customFormat="1" ht="14.25">
      <c r="F65" s="37"/>
      <c r="G65" s="37"/>
      <c r="H65" s="37"/>
    </row>
    <row r="66" spans="6:8" s="29" customFormat="1" ht="14.25">
      <c r="F66" s="37"/>
      <c r="G66" s="37"/>
      <c r="H66" s="37"/>
    </row>
    <row r="67" spans="6:8" s="29" customFormat="1" ht="14.25">
      <c r="F67" s="37"/>
      <c r="G67" s="37"/>
      <c r="H67" s="37"/>
    </row>
    <row r="68" spans="6:8" s="29" customFormat="1" ht="14.25">
      <c r="F68" s="37"/>
      <c r="G68" s="37"/>
      <c r="H68" s="37"/>
    </row>
    <row r="69" spans="6:8" s="29" customFormat="1" ht="14.25">
      <c r="F69" s="37"/>
      <c r="G69" s="37"/>
      <c r="H69" s="37"/>
    </row>
    <row r="70" spans="6:8" s="29" customFormat="1" ht="14.25">
      <c r="F70" s="37"/>
      <c r="G70" s="37"/>
      <c r="H70" s="37"/>
    </row>
    <row r="71" spans="6:8" s="29" customFormat="1" ht="14.25">
      <c r="F71" s="37"/>
      <c r="G71" s="37"/>
      <c r="H71" s="37"/>
    </row>
    <row r="72" spans="6:8" s="29" customFormat="1" ht="14.25">
      <c r="F72" s="37"/>
      <c r="G72" s="37"/>
      <c r="H72" s="37"/>
    </row>
    <row r="73" spans="6:8" s="29" customFormat="1" ht="14.25">
      <c r="F73" s="37"/>
      <c r="G73" s="37"/>
      <c r="H73" s="37"/>
    </row>
    <row r="74" spans="6:8" s="29" customFormat="1" ht="14.25">
      <c r="F74" s="37"/>
      <c r="G74" s="37"/>
      <c r="H74" s="37"/>
    </row>
    <row r="75" spans="6:8" s="29" customFormat="1" ht="14.25">
      <c r="F75" s="37"/>
      <c r="G75" s="37"/>
      <c r="H75" s="37"/>
    </row>
    <row r="76" spans="6:8" s="29" customFormat="1" ht="14.25">
      <c r="F76" s="37"/>
      <c r="G76" s="37"/>
      <c r="H76" s="37"/>
    </row>
    <row r="77" spans="6:8" s="29" customFormat="1" ht="14.25">
      <c r="F77" s="37"/>
      <c r="G77" s="37"/>
      <c r="H77" s="37"/>
    </row>
    <row r="78" spans="6:8" s="29" customFormat="1" ht="14.25">
      <c r="F78" s="37"/>
      <c r="G78" s="37"/>
      <c r="H78" s="37"/>
    </row>
    <row r="79" spans="6:8" s="29" customFormat="1" ht="14.25">
      <c r="F79" s="37"/>
      <c r="G79" s="37"/>
      <c r="H79" s="37"/>
    </row>
    <row r="80" spans="6:8" s="29" customFormat="1" ht="14.25">
      <c r="F80" s="37"/>
      <c r="G80" s="37"/>
      <c r="H80" s="37"/>
    </row>
    <row r="81" spans="6:8" s="29" customFormat="1" ht="14.25">
      <c r="F81" s="37"/>
      <c r="G81" s="37"/>
      <c r="H81" s="37"/>
    </row>
    <row r="82" spans="6:8" s="29" customFormat="1" ht="14.25">
      <c r="F82" s="37"/>
      <c r="G82" s="37"/>
      <c r="H82" s="37"/>
    </row>
    <row r="83" spans="6:8" s="29" customFormat="1" ht="14.25">
      <c r="F83" s="37"/>
      <c r="G83" s="37"/>
      <c r="H83" s="37"/>
    </row>
    <row r="84" spans="6:8" s="29" customFormat="1" ht="14.25">
      <c r="F84" s="37"/>
      <c r="G84" s="37"/>
      <c r="H84" s="37"/>
    </row>
    <row r="85" spans="6:8" s="29" customFormat="1" ht="14.25">
      <c r="F85" s="37"/>
      <c r="G85" s="37"/>
      <c r="H85" s="37"/>
    </row>
    <row r="86" spans="6:8" s="29" customFormat="1" ht="14.25">
      <c r="F86" s="37"/>
      <c r="G86" s="37"/>
      <c r="H86" s="37"/>
    </row>
    <row r="87" spans="6:8" s="29" customFormat="1" ht="14.25">
      <c r="F87" s="37"/>
      <c r="G87" s="37"/>
      <c r="H87" s="37"/>
    </row>
    <row r="88" spans="6:8" s="29" customFormat="1" ht="14.25">
      <c r="F88" s="37"/>
      <c r="G88" s="37"/>
      <c r="H88" s="37"/>
    </row>
    <row r="89" spans="6:8" s="29" customFormat="1" ht="14.25">
      <c r="F89" s="37"/>
      <c r="G89" s="37"/>
      <c r="H89" s="37"/>
    </row>
  </sheetData>
  <mergeCells count="1">
    <mergeCell ref="A7:B7"/>
  </mergeCells>
  <phoneticPr fontId="22" type="noConversion"/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RowHeight="15"/>
  <cols>
    <col min="1" max="1" width="115.42578125" style="7" bestFit="1" customWidth="1"/>
    <col min="2" max="2" width="9.140625" style="7"/>
    <col min="3" max="3" width="17.28515625" style="7" customWidth="1"/>
    <col min="4" max="4" width="10.5703125" style="3" bestFit="1" customWidth="1"/>
    <col min="5" max="16384" width="9.140625" style="3"/>
  </cols>
  <sheetData>
    <row r="1" spans="1:16" s="10" customFormat="1">
      <c r="A1" s="580" t="s">
        <v>3</v>
      </c>
      <c r="B1" s="580"/>
      <c r="C1" s="580"/>
      <c r="D1" s="45"/>
      <c r="E1" s="45"/>
      <c r="F1" s="45"/>
      <c r="G1" s="45"/>
      <c r="H1" s="45"/>
      <c r="I1" s="45"/>
      <c r="J1" s="45"/>
      <c r="K1" s="45"/>
      <c r="L1" s="45"/>
      <c r="M1" s="46"/>
      <c r="N1" s="47"/>
      <c r="O1" s="48"/>
      <c r="P1" s="48"/>
    </row>
    <row r="2" spans="1:16" s="9" customFormat="1" ht="15.75">
      <c r="A2" s="581" t="s">
        <v>232</v>
      </c>
      <c r="B2" s="581"/>
      <c r="C2" s="581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  <c r="O2" s="52"/>
      <c r="P2" s="52"/>
    </row>
    <row r="3" spans="1:16" s="9" customFormat="1" ht="15.75">
      <c r="A3" s="579" t="s">
        <v>231</v>
      </c>
      <c r="B3" s="579"/>
      <c r="C3" s="579"/>
      <c r="D3" s="49"/>
      <c r="E3" s="49"/>
      <c r="F3" s="49"/>
      <c r="G3" s="49"/>
      <c r="H3" s="49"/>
      <c r="I3" s="49"/>
      <c r="J3" s="49"/>
      <c r="K3" s="49"/>
      <c r="L3" s="49"/>
      <c r="M3" s="50"/>
      <c r="N3" s="51"/>
      <c r="O3" s="52"/>
      <c r="P3" s="52"/>
    </row>
    <row r="4" spans="1:16" ht="15.75" thickBot="1"/>
    <row r="5" spans="1:16" s="18" customFormat="1" ht="30">
      <c r="A5" s="20" t="s">
        <v>188</v>
      </c>
      <c r="B5" s="21" t="s">
        <v>174</v>
      </c>
      <c r="C5" s="22" t="s">
        <v>175</v>
      </c>
    </row>
    <row r="6" spans="1:16" s="18" customFormat="1" ht="14.25">
      <c r="A6" s="53"/>
      <c r="B6" s="54"/>
      <c r="C6" s="23"/>
    </row>
    <row r="7" spans="1:16" s="18" customFormat="1" ht="14.25">
      <c r="A7" s="55"/>
      <c r="B7" s="54"/>
      <c r="C7" s="23"/>
    </row>
    <row r="8" spans="1:16" s="18" customFormat="1" ht="14.25">
      <c r="A8" s="55"/>
      <c r="B8" s="54"/>
      <c r="C8" s="24"/>
    </row>
    <row r="9" spans="1:16" s="18" customFormat="1" ht="14.25">
      <c r="A9" s="55" t="s">
        <v>176</v>
      </c>
      <c r="B9" s="54"/>
      <c r="C9" s="24">
        <f>SUM(C6:C8)</f>
        <v>0</v>
      </c>
    </row>
    <row r="10" spans="1:16" s="18" customFormat="1" ht="14.25">
      <c r="A10" s="53"/>
      <c r="B10" s="56"/>
      <c r="C10" s="25"/>
    </row>
    <row r="11" spans="1:16" s="18" customFormat="1" ht="29.25">
      <c r="A11" s="57" t="s">
        <v>182</v>
      </c>
      <c r="B11" s="58" t="s">
        <v>174</v>
      </c>
      <c r="C11" s="26" t="s">
        <v>175</v>
      </c>
    </row>
    <row r="12" spans="1:16" s="18" customFormat="1" ht="14.25">
      <c r="A12" s="53"/>
      <c r="B12" s="54"/>
      <c r="C12" s="23"/>
    </row>
    <row r="13" spans="1:16" s="18" customFormat="1" ht="14.25">
      <c r="A13" s="55"/>
      <c r="B13" s="54"/>
      <c r="C13" s="23"/>
    </row>
    <row r="14" spans="1:16" s="18" customFormat="1" ht="14.25">
      <c r="A14" s="55"/>
      <c r="B14" s="54"/>
      <c r="C14" s="24"/>
    </row>
    <row r="15" spans="1:16" s="18" customFormat="1" thickBot="1">
      <c r="A15" s="59" t="s">
        <v>176</v>
      </c>
      <c r="B15" s="60"/>
      <c r="C15" s="27">
        <f>SUM(C12:C14)</f>
        <v>0</v>
      </c>
    </row>
    <row r="16" spans="1:16" s="18" customFormat="1" ht="14.25">
      <c r="A16" s="44"/>
      <c r="B16" s="44"/>
    </row>
    <row r="17" spans="1:2" s="18" customFormat="1" ht="14.25">
      <c r="A17" s="44"/>
      <c r="B17" s="44"/>
    </row>
    <row r="18" spans="1:2" s="18" customFormat="1" ht="14.25">
      <c r="A18" s="44"/>
      <c r="B18" s="44"/>
    </row>
    <row r="19" spans="1:2" s="18" customFormat="1" ht="14.25">
      <c r="A19" s="44"/>
      <c r="B19" s="44"/>
    </row>
    <row r="20" spans="1:2" s="18" customFormat="1" ht="14.25">
      <c r="A20" s="44"/>
      <c r="B20" s="44"/>
    </row>
    <row r="21" spans="1:2" s="18" customFormat="1" ht="14.25">
      <c r="A21" s="44"/>
      <c r="B21" s="44"/>
    </row>
    <row r="22" spans="1:2" s="18" customFormat="1" ht="14.25">
      <c r="A22" s="44"/>
      <c r="B22" s="44"/>
    </row>
    <row r="23" spans="1:2" s="18" customFormat="1" ht="14.25">
      <c r="A23" s="44"/>
      <c r="B23" s="44"/>
    </row>
    <row r="24" spans="1:2" s="18" customFormat="1" ht="14.25">
      <c r="A24" s="44"/>
      <c r="B24" s="44"/>
    </row>
    <row r="25" spans="1:2" s="18" customFormat="1" ht="14.25">
      <c r="A25" s="44"/>
      <c r="B25" s="44"/>
    </row>
    <row r="26" spans="1:2" s="18" customFormat="1" ht="14.25">
      <c r="A26" s="44"/>
      <c r="B26" s="44"/>
    </row>
    <row r="27" spans="1:2" s="18" customFormat="1" ht="14.25">
      <c r="A27" s="44"/>
      <c r="B27" s="44"/>
    </row>
    <row r="28" spans="1:2" s="18" customFormat="1" ht="14.25">
      <c r="A28" s="44"/>
      <c r="B28" s="44"/>
    </row>
    <row r="29" spans="1:2" s="18" customFormat="1" ht="14.25">
      <c r="A29" s="44"/>
      <c r="B29" s="44"/>
    </row>
    <row r="30" spans="1:2" s="18" customFormat="1" ht="14.25">
      <c r="A30" s="44"/>
      <c r="B30" s="44"/>
    </row>
    <row r="31" spans="1:2" s="18" customFormat="1" ht="14.25">
      <c r="A31" s="44"/>
      <c r="B31" s="44"/>
    </row>
    <row r="32" spans="1:2" s="18" customFormat="1" ht="14.25">
      <c r="A32" s="44"/>
      <c r="B32" s="44"/>
    </row>
    <row r="33" spans="1:2" s="18" customFormat="1" ht="14.25">
      <c r="A33" s="44"/>
      <c r="B33" s="44"/>
    </row>
    <row r="34" spans="1:2" s="18" customFormat="1" ht="14.25">
      <c r="A34" s="44"/>
      <c r="B34" s="44"/>
    </row>
    <row r="35" spans="1:2" s="18" customFormat="1" ht="14.25">
      <c r="A35" s="44"/>
      <c r="B35" s="44"/>
    </row>
    <row r="36" spans="1:2" s="18" customFormat="1" ht="14.25">
      <c r="A36" s="44"/>
      <c r="B36" s="44"/>
    </row>
    <row r="37" spans="1:2" s="18" customFormat="1" ht="14.25">
      <c r="A37" s="44"/>
      <c r="B37" s="44"/>
    </row>
    <row r="38" spans="1:2" s="18" customFormat="1" ht="14.25">
      <c r="A38" s="44"/>
      <c r="B38" s="44"/>
    </row>
    <row r="39" spans="1:2" s="18" customFormat="1" ht="14.25">
      <c r="A39" s="44"/>
      <c r="B39" s="44"/>
    </row>
    <row r="40" spans="1:2" s="18" customFormat="1" ht="14.25">
      <c r="A40" s="44"/>
      <c r="B40" s="44"/>
    </row>
    <row r="41" spans="1:2" s="18" customFormat="1" ht="14.25">
      <c r="A41" s="44"/>
      <c r="B41" s="44"/>
    </row>
    <row r="42" spans="1:2" s="18" customFormat="1" ht="14.25">
      <c r="A42" s="44"/>
      <c r="B42" s="44"/>
    </row>
    <row r="43" spans="1:2" s="18" customFormat="1" ht="14.25">
      <c r="A43" s="44"/>
      <c r="B43" s="44"/>
    </row>
    <row r="44" spans="1:2" s="18" customFormat="1" ht="14.25">
      <c r="A44" s="44"/>
      <c r="B44" s="44"/>
    </row>
    <row r="45" spans="1:2" s="18" customFormat="1" ht="14.25">
      <c r="A45" s="44"/>
      <c r="B45" s="44"/>
    </row>
    <row r="46" spans="1:2" s="18" customFormat="1" ht="14.25">
      <c r="A46" s="44"/>
      <c r="B46" s="44"/>
    </row>
    <row r="47" spans="1:2" s="18" customFormat="1" ht="14.25">
      <c r="A47" s="44"/>
      <c r="B47" s="44"/>
    </row>
    <row r="48" spans="1:2" s="18" customFormat="1" ht="14.25">
      <c r="A48" s="44"/>
      <c r="B48" s="44"/>
    </row>
    <row r="49" spans="1:2" s="18" customFormat="1" ht="14.25">
      <c r="A49" s="44"/>
      <c r="B49" s="44"/>
    </row>
    <row r="50" spans="1:2" s="18" customFormat="1" ht="14.25"/>
    <row r="51" spans="1:2" s="18" customFormat="1" ht="14.25"/>
    <row r="52" spans="1:2" s="18" customFormat="1" ht="14.25"/>
    <row r="53" spans="1:2" s="18" customFormat="1" ht="14.25"/>
    <row r="54" spans="1:2" s="18" customFormat="1" ht="14.25"/>
    <row r="55" spans="1:2" s="18" customFormat="1" ht="14.25"/>
    <row r="56" spans="1:2" s="18" customFormat="1" ht="14.25"/>
    <row r="57" spans="1:2" s="18" customFormat="1" ht="14.25"/>
    <row r="58" spans="1:2" s="18" customFormat="1" ht="14.25"/>
    <row r="59" spans="1:2" s="18" customFormat="1" ht="14.25"/>
    <row r="60" spans="1:2" s="18" customFormat="1" ht="14.25"/>
    <row r="61" spans="1:2" s="18" customFormat="1" ht="14.25"/>
    <row r="62" spans="1:2" s="18" customFormat="1" ht="14.25"/>
    <row r="63" spans="1:2" s="18" customFormat="1" ht="14.25"/>
    <row r="64" spans="1:2" s="18" customFormat="1" ht="14.25"/>
    <row r="65" s="18" customFormat="1" ht="14.25"/>
    <row r="66" s="18" customFormat="1" ht="14.25"/>
    <row r="67" s="18" customFormat="1" ht="14.25"/>
    <row r="68" s="18" customFormat="1" ht="14.25"/>
    <row r="69" s="18" customFormat="1" ht="14.25"/>
    <row r="70" s="18" customFormat="1" ht="14.25"/>
    <row r="71" s="18" customFormat="1" ht="14.25"/>
    <row r="72" s="18" customFormat="1" ht="14.25"/>
    <row r="73" s="18" customFormat="1" ht="14.25"/>
    <row r="74" s="18" customFormat="1" ht="14.25"/>
    <row r="75" s="18" customFormat="1" ht="14.25"/>
    <row r="76" s="18" customFormat="1" ht="14.25"/>
    <row r="77" s="18" customFormat="1" ht="14.25"/>
    <row r="78" s="18" customFormat="1" ht="14.25"/>
    <row r="79" s="18" customFormat="1" ht="14.25"/>
    <row r="80" s="18" customFormat="1" ht="14.25"/>
    <row r="81" s="18" customFormat="1" ht="14.25"/>
    <row r="82" s="18" customFormat="1" ht="14.25"/>
    <row r="83" s="18" customFormat="1" ht="14.25"/>
    <row r="84" s="18" customFormat="1" ht="14.25"/>
    <row r="85" s="18" customFormat="1" ht="14.25"/>
    <row r="86" s="18" customFormat="1" ht="14.25"/>
    <row r="87" s="18" customFormat="1" ht="14.25"/>
    <row r="88" s="18" customFormat="1" ht="14.25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E42"/>
  <sheetViews>
    <sheetView zoomScale="80" zoomScaleNormal="80" workbookViewId="0">
      <selection activeCell="B23" sqref="B23"/>
    </sheetView>
  </sheetViews>
  <sheetFormatPr defaultRowHeight="15.75"/>
  <cols>
    <col min="1" max="1" width="7.140625" customWidth="1"/>
    <col min="2" max="2" width="77.85546875" customWidth="1"/>
    <col min="3" max="3" width="16.7109375" customWidth="1"/>
    <col min="4" max="4" width="4.140625" style="364" customWidth="1"/>
    <col min="5" max="7" width="16.7109375" customWidth="1"/>
    <col min="8" max="9" width="12.28515625" customWidth="1"/>
    <col min="10" max="10" width="8.7109375" bestFit="1" customWidth="1"/>
  </cols>
  <sheetData>
    <row r="1" spans="1:57" s="316" customFormat="1" ht="16.5" customHeight="1">
      <c r="A1" s="582" t="s">
        <v>3</v>
      </c>
      <c r="B1" s="582"/>
      <c r="C1" s="582"/>
      <c r="D1" s="582"/>
      <c r="E1" s="582"/>
      <c r="F1" s="582"/>
      <c r="G1" s="582"/>
      <c r="H1" s="435"/>
      <c r="I1" s="435"/>
      <c r="J1" s="435"/>
    </row>
    <row r="2" spans="1:57" s="316" customFormat="1" ht="16.5" customHeight="1">
      <c r="A2" s="582" t="s">
        <v>262</v>
      </c>
      <c r="B2" s="582"/>
      <c r="C2" s="582"/>
      <c r="D2" s="582"/>
      <c r="E2" s="582"/>
      <c r="F2" s="582"/>
      <c r="G2" s="582"/>
      <c r="H2" s="435"/>
      <c r="I2" s="435"/>
      <c r="J2" s="435"/>
    </row>
    <row r="3" spans="1:57" s="316" customFormat="1" ht="16.5" customHeight="1">
      <c r="A3" s="583" t="s">
        <v>419</v>
      </c>
      <c r="B3" s="583"/>
      <c r="C3" s="583"/>
      <c r="D3" s="583"/>
      <c r="E3" s="583"/>
      <c r="F3" s="583"/>
      <c r="G3" s="583"/>
      <c r="H3" s="435"/>
      <c r="I3" s="435"/>
      <c r="J3" s="435"/>
    </row>
    <row r="4" spans="1:57" s="316" customFormat="1">
      <c r="A4" s="584" t="s">
        <v>167</v>
      </c>
      <c r="B4" s="584"/>
      <c r="C4" s="584"/>
      <c r="D4" s="584"/>
      <c r="E4" s="584"/>
      <c r="F4" s="584"/>
      <c r="G4" s="584"/>
    </row>
    <row r="5" spans="1:57" s="436" customFormat="1">
      <c r="D5" s="516"/>
      <c r="F5" s="437" t="s">
        <v>167</v>
      </c>
    </row>
    <row r="6" spans="1:57" s="440" customFormat="1" ht="33.4" customHeight="1">
      <c r="A6" s="438"/>
      <c r="B6" s="439" t="s">
        <v>44</v>
      </c>
      <c r="C6" s="438" t="s">
        <v>263</v>
      </c>
      <c r="D6" s="517"/>
      <c r="E6" s="438" t="s">
        <v>264</v>
      </c>
      <c r="F6" s="438" t="s">
        <v>404</v>
      </c>
      <c r="G6" s="438" t="s">
        <v>206</v>
      </c>
    </row>
    <row r="7" spans="1:57" s="316" customFormat="1" ht="9" customHeight="1">
      <c r="A7" s="441"/>
      <c r="B7" s="442"/>
      <c r="C7" s="441"/>
      <c r="D7" s="518"/>
      <c r="E7" s="441"/>
      <c r="F7" s="441"/>
      <c r="G7" s="441"/>
    </row>
    <row r="8" spans="1:57" s="316" customFormat="1" ht="18.95" customHeight="1">
      <c r="A8" s="443">
        <v>1</v>
      </c>
      <c r="B8" s="444" t="s">
        <v>45</v>
      </c>
      <c r="C8" s="366">
        <v>814292</v>
      </c>
      <c r="D8" s="519" t="s">
        <v>416</v>
      </c>
      <c r="E8" s="366">
        <v>476757</v>
      </c>
      <c r="F8" s="366">
        <v>831640.07957717718</v>
      </c>
      <c r="G8" s="445">
        <f>+F8-C8</f>
        <v>17348.079577177181</v>
      </c>
      <c r="H8" s="446"/>
      <c r="I8" s="447"/>
      <c r="J8" s="447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</row>
    <row r="9" spans="1:57" s="316" customFormat="1" ht="18.95" customHeight="1">
      <c r="A9" s="443">
        <f t="shared" ref="A9:A22" si="0">A8+1</f>
        <v>2</v>
      </c>
      <c r="B9" s="444" t="s">
        <v>46</v>
      </c>
      <c r="C9" s="366">
        <v>287177</v>
      </c>
      <c r="D9" s="366"/>
      <c r="E9" s="366">
        <v>175825</v>
      </c>
      <c r="F9" s="366">
        <v>298065.64925466175</v>
      </c>
      <c r="G9" s="445">
        <f t="shared" ref="G9:G22" si="1">+F9-C9</f>
        <v>10888.649254661752</v>
      </c>
      <c r="H9" s="446"/>
      <c r="I9" s="447"/>
      <c r="J9" s="447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  <c r="BE9" s="446"/>
    </row>
    <row r="10" spans="1:57" s="316" customFormat="1" ht="18.95" customHeight="1">
      <c r="A10" s="443">
        <f t="shared" si="0"/>
        <v>3</v>
      </c>
      <c r="B10" s="444" t="s">
        <v>207</v>
      </c>
      <c r="C10" s="366">
        <v>113690</v>
      </c>
      <c r="D10" s="519" t="s">
        <v>416</v>
      </c>
      <c r="E10" s="366">
        <v>63022</v>
      </c>
      <c r="F10" s="366">
        <v>113048.79851792532</v>
      </c>
      <c r="G10" s="445">
        <f t="shared" si="1"/>
        <v>-641.20148207468446</v>
      </c>
      <c r="H10" s="446"/>
      <c r="I10" s="447"/>
      <c r="J10" s="447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</row>
    <row r="11" spans="1:57" s="316" customFormat="1" ht="18.95" customHeight="1">
      <c r="A11" s="443">
        <f t="shared" si="0"/>
        <v>4</v>
      </c>
      <c r="B11" s="444" t="s">
        <v>208</v>
      </c>
      <c r="C11" s="366">
        <v>13294</v>
      </c>
      <c r="D11" s="519" t="s">
        <v>416</v>
      </c>
      <c r="E11" s="366">
        <v>13125</v>
      </c>
      <c r="F11" s="366">
        <v>22479.08336405682</v>
      </c>
      <c r="G11" s="445">
        <f t="shared" si="1"/>
        <v>9185.0833640568198</v>
      </c>
      <c r="H11" s="446"/>
      <c r="I11" s="447"/>
      <c r="J11" s="447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446"/>
      <c r="AY11" s="446"/>
      <c r="AZ11" s="446"/>
      <c r="BA11" s="446"/>
      <c r="BB11" s="446"/>
      <c r="BC11" s="446"/>
      <c r="BD11" s="446"/>
      <c r="BE11" s="446"/>
    </row>
    <row r="12" spans="1:57" s="450" customFormat="1" ht="18.95" customHeight="1">
      <c r="A12" s="443">
        <f t="shared" si="0"/>
        <v>5</v>
      </c>
      <c r="B12" s="444" t="s">
        <v>47</v>
      </c>
      <c r="C12" s="366">
        <v>186756</v>
      </c>
      <c r="D12" s="366"/>
      <c r="E12" s="366">
        <v>103689</v>
      </c>
      <c r="F12" s="366">
        <v>174588.93778248836</v>
      </c>
      <c r="G12" s="445">
        <f t="shared" si="1"/>
        <v>-12167.062217511644</v>
      </c>
      <c r="H12" s="448"/>
      <c r="I12" s="449"/>
      <c r="J12" s="449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</row>
    <row r="13" spans="1:57" s="316" customFormat="1" ht="18.95" customHeight="1">
      <c r="A13" s="443">
        <f t="shared" si="0"/>
        <v>6</v>
      </c>
      <c r="B13" s="444" t="s">
        <v>209</v>
      </c>
      <c r="C13" s="366">
        <v>88293</v>
      </c>
      <c r="D13" s="366"/>
      <c r="E13" s="366">
        <v>49369</v>
      </c>
      <c r="F13" s="366">
        <v>87263.876344500837</v>
      </c>
      <c r="G13" s="445">
        <f t="shared" si="1"/>
        <v>-1029.1236554991629</v>
      </c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6"/>
    </row>
    <row r="14" spans="1:57" s="316" customFormat="1" ht="18.95" customHeight="1">
      <c r="A14" s="443">
        <f t="shared" si="0"/>
        <v>7</v>
      </c>
      <c r="B14" s="444" t="s">
        <v>210</v>
      </c>
      <c r="C14" s="366">
        <v>14306</v>
      </c>
      <c r="D14" s="366"/>
      <c r="E14" s="366">
        <v>7144</v>
      </c>
      <c r="F14" s="366">
        <v>12418.836913338315</v>
      </c>
      <c r="G14" s="445">
        <f t="shared" si="1"/>
        <v>-1887.1630866616852</v>
      </c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  <c r="AT14" s="446"/>
      <c r="AU14" s="446"/>
      <c r="AV14" s="446"/>
      <c r="AW14" s="446"/>
      <c r="AX14" s="446"/>
      <c r="AY14" s="446"/>
      <c r="AZ14" s="446"/>
      <c r="BA14" s="446"/>
      <c r="BB14" s="446"/>
      <c r="BC14" s="446"/>
      <c r="BD14" s="446"/>
      <c r="BE14" s="446"/>
    </row>
    <row r="15" spans="1:57" s="450" customFormat="1" ht="18.95" customHeight="1">
      <c r="A15" s="443">
        <f t="shared" si="0"/>
        <v>8</v>
      </c>
      <c r="B15" s="444" t="s">
        <v>48</v>
      </c>
      <c r="C15" s="367">
        <v>16.29</v>
      </c>
      <c r="D15" s="367"/>
      <c r="E15" s="368">
        <v>16.394029974472691</v>
      </c>
      <c r="F15" s="369"/>
      <c r="G15" s="445">
        <f t="shared" si="1"/>
        <v>-16.29</v>
      </c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8"/>
      <c r="AY15" s="448"/>
      <c r="AZ15" s="448"/>
      <c r="BA15" s="448"/>
      <c r="BB15" s="448"/>
      <c r="BC15" s="448"/>
      <c r="BD15" s="448"/>
      <c r="BE15" s="448"/>
    </row>
    <row r="16" spans="1:57" s="316" customFormat="1" ht="18.95" customHeight="1">
      <c r="A16" s="443">
        <f t="shared" si="0"/>
        <v>9</v>
      </c>
      <c r="B16" s="444" t="s">
        <v>211</v>
      </c>
      <c r="C16" s="368">
        <v>31.5</v>
      </c>
      <c r="D16" s="368"/>
      <c r="E16" s="368">
        <v>33.7589682162698</v>
      </c>
      <c r="F16" s="369">
        <v>34.165664092642828</v>
      </c>
      <c r="G16" s="445">
        <f>+F16-C16</f>
        <v>2.6656640926428281</v>
      </c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  <c r="BD16" s="446"/>
      <c r="BE16" s="446"/>
    </row>
    <row r="17" spans="1:57" s="316" customFormat="1" ht="18.95" customHeight="1">
      <c r="A17" s="443">
        <f t="shared" si="0"/>
        <v>10</v>
      </c>
      <c r="B17" s="444" t="s">
        <v>384</v>
      </c>
      <c r="C17" s="366">
        <v>31260</v>
      </c>
      <c r="D17" s="519" t="s">
        <v>416</v>
      </c>
      <c r="E17" s="366">
        <v>30536.714285714286</v>
      </c>
      <c r="F17" s="370">
        <v>30860.711483333333</v>
      </c>
      <c r="G17" s="445">
        <f t="shared" si="1"/>
        <v>-399.28851666666742</v>
      </c>
      <c r="H17" s="446" t="s">
        <v>167</v>
      </c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  <c r="BD17" s="446"/>
      <c r="BE17" s="446"/>
    </row>
    <row r="18" spans="1:57" s="316" customFormat="1" ht="18.95" customHeight="1">
      <c r="A18" s="443">
        <f t="shared" si="0"/>
        <v>11</v>
      </c>
      <c r="B18" s="444" t="s">
        <v>186</v>
      </c>
      <c r="C18" s="366">
        <v>16275</v>
      </c>
      <c r="D18" s="523" t="s">
        <v>187</v>
      </c>
      <c r="E18" s="371">
        <v>15962.484204077969</v>
      </c>
      <c r="F18" s="366">
        <v>16056.233895854195</v>
      </c>
      <c r="G18" s="445">
        <f t="shared" si="1"/>
        <v>-218.766104145805</v>
      </c>
      <c r="H18" s="446" t="s">
        <v>167</v>
      </c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6"/>
      <c r="AN18" s="446"/>
      <c r="AO18" s="446"/>
      <c r="AP18" s="446"/>
      <c r="AQ18" s="446"/>
      <c r="AR18" s="446"/>
      <c r="AS18" s="446"/>
      <c r="AT18" s="446"/>
      <c r="AU18" s="446"/>
      <c r="AV18" s="446"/>
      <c r="AW18" s="446"/>
      <c r="AX18" s="446"/>
      <c r="AY18" s="446"/>
      <c r="AZ18" s="446"/>
      <c r="BA18" s="446"/>
      <c r="BB18" s="446"/>
      <c r="BC18" s="446"/>
      <c r="BD18" s="446"/>
      <c r="BE18" s="446"/>
    </row>
    <row r="19" spans="1:57" s="450" customFormat="1" ht="18.95" customHeight="1">
      <c r="A19" s="443">
        <f t="shared" si="0"/>
        <v>12</v>
      </c>
      <c r="B19" s="365" t="s">
        <v>405</v>
      </c>
      <c r="C19" s="366">
        <v>48668</v>
      </c>
      <c r="D19" s="523" t="s">
        <v>187</v>
      </c>
      <c r="E19" s="371">
        <v>48211.497791692847</v>
      </c>
      <c r="F19" s="366">
        <v>48581.880159637461</v>
      </c>
      <c r="G19" s="445">
        <f t="shared" si="1"/>
        <v>-86.119840362538525</v>
      </c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8"/>
      <c r="AT19" s="448"/>
      <c r="AU19" s="448"/>
      <c r="AV19" s="448"/>
      <c r="AW19" s="448"/>
      <c r="AX19" s="448"/>
      <c r="AY19" s="448"/>
      <c r="AZ19" s="448"/>
      <c r="BA19" s="448"/>
      <c r="BB19" s="448"/>
      <c r="BC19" s="448"/>
      <c r="BD19" s="448"/>
      <c r="BE19" s="448"/>
    </row>
    <row r="20" spans="1:57" s="450" customFormat="1" ht="18.95" customHeight="1">
      <c r="A20" s="443">
        <f t="shared" si="0"/>
        <v>13</v>
      </c>
      <c r="B20" s="444" t="s">
        <v>406</v>
      </c>
      <c r="C20" s="366">
        <v>5697</v>
      </c>
      <c r="D20" s="523" t="s">
        <v>187</v>
      </c>
      <c r="E20" s="371">
        <v>6411.3339345224431</v>
      </c>
      <c r="F20" s="366">
        <v>6315.3653024454097</v>
      </c>
      <c r="G20" s="445">
        <f t="shared" si="1"/>
        <v>618.36530244540972</v>
      </c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448"/>
    </row>
    <row r="21" spans="1:57" s="450" customFormat="1" ht="18.95" customHeight="1">
      <c r="A21" s="443">
        <f t="shared" si="0"/>
        <v>14</v>
      </c>
      <c r="B21" s="444" t="s">
        <v>407</v>
      </c>
      <c r="C21" s="366">
        <v>10872</v>
      </c>
      <c r="D21" s="523" t="s">
        <v>187</v>
      </c>
      <c r="E21" s="371">
        <v>5476.2084361473599</v>
      </c>
      <c r="F21" s="366">
        <v>5511.1838177175823</v>
      </c>
      <c r="G21" s="445">
        <f t="shared" si="1"/>
        <v>-5360.8161822824177</v>
      </c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448"/>
      <c r="AX21" s="448"/>
      <c r="AY21" s="448"/>
      <c r="AZ21" s="448"/>
      <c r="BA21" s="448"/>
      <c r="BB21" s="448"/>
      <c r="BC21" s="448"/>
      <c r="BD21" s="448"/>
      <c r="BE21" s="448"/>
    </row>
    <row r="22" spans="1:57" s="450" customFormat="1" ht="18.95" customHeight="1">
      <c r="A22" s="524">
        <f t="shared" si="0"/>
        <v>15</v>
      </c>
      <c r="B22" s="525" t="s">
        <v>212</v>
      </c>
      <c r="C22" s="515">
        <v>42299</v>
      </c>
      <c r="D22" s="515"/>
      <c r="E22" s="515">
        <v>23638</v>
      </c>
      <c r="F22" s="515">
        <v>40001.578999999998</v>
      </c>
      <c r="G22" s="526">
        <f t="shared" si="1"/>
        <v>-2297.4210000000021</v>
      </c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448"/>
    </row>
    <row r="23" spans="1:57" s="450" customFormat="1">
      <c r="A23" s="426"/>
      <c r="B23" s="426"/>
      <c r="C23" s="372"/>
      <c r="D23" s="372"/>
      <c r="E23" s="451"/>
      <c r="F23" s="451"/>
      <c r="G23" s="451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48"/>
      <c r="AX23" s="448"/>
      <c r="AY23" s="448"/>
      <c r="AZ23" s="448"/>
      <c r="BA23" s="448"/>
      <c r="BB23" s="448"/>
      <c r="BC23" s="448"/>
      <c r="BD23" s="448"/>
      <c r="BE23" s="448"/>
    </row>
    <row r="24" spans="1:57" s="522" customFormat="1">
      <c r="A24" s="520" t="s">
        <v>187</v>
      </c>
      <c r="B24" s="521" t="s">
        <v>417</v>
      </c>
      <c r="C24" s="372"/>
      <c r="D24" s="372"/>
      <c r="E24" s="372"/>
      <c r="F24" s="372"/>
      <c r="G24" s="372"/>
    </row>
    <row r="25" spans="1:57" s="522" customFormat="1">
      <c r="A25" s="520" t="s">
        <v>213</v>
      </c>
      <c r="B25" s="521" t="s">
        <v>217</v>
      </c>
      <c r="C25" s="372"/>
      <c r="D25" s="372"/>
      <c r="E25" s="372"/>
      <c r="F25" s="372"/>
      <c r="G25" s="372"/>
    </row>
    <row r="26" spans="1:57" s="364" customFormat="1">
      <c r="A26" s="520" t="s">
        <v>416</v>
      </c>
      <c r="B26" s="521" t="s">
        <v>418</v>
      </c>
    </row>
    <row r="27" spans="1:57">
      <c r="A27" s="520"/>
      <c r="B27" s="521"/>
    </row>
    <row r="36" spans="5:5">
      <c r="E36" s="452"/>
    </row>
    <row r="37" spans="5:5">
      <c r="E37" s="452"/>
    </row>
    <row r="38" spans="5:5">
      <c r="E38" s="452"/>
    </row>
    <row r="39" spans="5:5">
      <c r="E39" s="452"/>
    </row>
    <row r="40" spans="5:5">
      <c r="E40" s="452"/>
    </row>
    <row r="41" spans="5:5">
      <c r="E41" s="452"/>
    </row>
    <row r="42" spans="5:5">
      <c r="E42" s="452"/>
    </row>
  </sheetData>
  <mergeCells count="4">
    <mergeCell ref="A1:G1"/>
    <mergeCell ref="A2:G2"/>
    <mergeCell ref="A3:G3"/>
    <mergeCell ref="A4:G4"/>
  </mergeCells>
  <printOptions horizontalCentered="1"/>
  <pageMargins left="0" right="0" top="0.5" bottom="1" header="0.5" footer="0.5"/>
  <pageSetup scale="86" orientation="landscape" r:id="rId1"/>
  <headerFooter alignWithMargins="0">
    <oddFooter>&amp;L&amp;8Schedule 8&amp;C&amp;8 &amp;R&amp;8&amp;P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7"/>
  <sheetViews>
    <sheetView zoomScale="70" zoomScaleNormal="70" workbookViewId="0">
      <pane xSplit="2" topLeftCell="U1" activePane="topRight" state="frozen"/>
      <selection activeCell="H23" sqref="H23"/>
      <selection pane="topRight" activeCell="C23" sqref="C23:AE23"/>
    </sheetView>
  </sheetViews>
  <sheetFormatPr defaultColWidth="9.140625" defaultRowHeight="15.75"/>
  <cols>
    <col min="1" max="1" width="14.85546875" style="361" customWidth="1"/>
    <col min="2" max="2" width="62.5703125" style="136" customWidth="1"/>
    <col min="3" max="3" width="16.42578125" style="136" bestFit="1" customWidth="1"/>
    <col min="4" max="31" width="19.42578125" style="136" customWidth="1"/>
    <col min="32" max="32" width="12.42578125" style="136" bestFit="1" customWidth="1"/>
    <col min="33" max="33" width="13.7109375" style="136" bestFit="1" customWidth="1"/>
    <col min="34" max="34" width="16.140625" style="136" bestFit="1" customWidth="1"/>
    <col min="35" max="35" width="18.140625" style="136" customWidth="1"/>
    <col min="36" max="36" width="27.5703125" style="136" customWidth="1"/>
    <col min="37" max="37" width="24.5703125" style="136" bestFit="1" customWidth="1"/>
    <col min="38" max="38" width="18.5703125" style="136" bestFit="1" customWidth="1"/>
    <col min="39" max="41" width="18.42578125" style="136" customWidth="1"/>
    <col min="42" max="42" width="14.28515625" style="136" customWidth="1"/>
    <col min="43" max="43" width="20.42578125" style="136" customWidth="1"/>
    <col min="44" max="44" width="18.5703125" style="136" bestFit="1" customWidth="1"/>
    <col min="45" max="45" width="20.42578125" style="136" bestFit="1" customWidth="1"/>
    <col min="46" max="46" width="18" style="136" bestFit="1" customWidth="1"/>
    <col min="47" max="47" width="10.85546875" style="136" hidden="1" customWidth="1"/>
    <col min="48" max="48" width="14.42578125" style="136" bestFit="1" customWidth="1"/>
    <col min="49" max="49" width="11.5703125" style="136" bestFit="1" customWidth="1"/>
    <col min="50" max="16384" width="9.140625" style="136"/>
  </cols>
  <sheetData>
    <row r="1" spans="1:48">
      <c r="A1" s="319" t="s">
        <v>279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</row>
    <row r="2" spans="1:48">
      <c r="A2" s="319" t="s">
        <v>280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</row>
    <row r="3" spans="1:48" ht="16.5" thickBot="1">
      <c r="A3" s="321" t="s">
        <v>419</v>
      </c>
      <c r="B3" s="322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</row>
    <row r="4" spans="1:48">
      <c r="A4" s="548" t="s">
        <v>1</v>
      </c>
      <c r="B4" s="549"/>
      <c r="C4" s="324" t="s">
        <v>24</v>
      </c>
      <c r="D4" s="325" t="s">
        <v>25</v>
      </c>
      <c r="E4" s="325" t="s">
        <v>26</v>
      </c>
      <c r="F4" s="325" t="s">
        <v>27</v>
      </c>
      <c r="G4" s="325" t="s">
        <v>28</v>
      </c>
      <c r="H4" s="325" t="s">
        <v>29</v>
      </c>
      <c r="I4" s="325" t="s">
        <v>114</v>
      </c>
      <c r="J4" s="325" t="s">
        <v>115</v>
      </c>
      <c r="K4" s="325" t="s">
        <v>116</v>
      </c>
      <c r="L4" s="325" t="s">
        <v>117</v>
      </c>
      <c r="M4" s="325" t="s">
        <v>118</v>
      </c>
      <c r="N4" s="325" t="s">
        <v>119</v>
      </c>
      <c r="O4" s="325" t="s">
        <v>120</v>
      </c>
      <c r="P4" s="325" t="s">
        <v>30</v>
      </c>
      <c r="Q4" s="325" t="s">
        <v>121</v>
      </c>
      <c r="R4" s="325" t="s">
        <v>122</v>
      </c>
      <c r="S4" s="325" t="s">
        <v>104</v>
      </c>
      <c r="T4" s="325" t="s">
        <v>105</v>
      </c>
      <c r="U4" s="325" t="s">
        <v>123</v>
      </c>
      <c r="V4" s="326" t="s">
        <v>106</v>
      </c>
      <c r="W4" s="326" t="s">
        <v>107</v>
      </c>
      <c r="X4" s="326" t="s">
        <v>108</v>
      </c>
      <c r="Y4" s="326" t="s">
        <v>109</v>
      </c>
      <c r="Z4" s="326" t="s">
        <v>110</v>
      </c>
      <c r="AA4" s="326" t="s">
        <v>111</v>
      </c>
      <c r="AB4" s="326" t="s">
        <v>112</v>
      </c>
      <c r="AC4" s="326" t="s">
        <v>113</v>
      </c>
      <c r="AD4" s="325" t="s">
        <v>199</v>
      </c>
      <c r="AE4" s="327" t="s">
        <v>175</v>
      </c>
    </row>
    <row r="5" spans="1:48" ht="63.75" thickBot="1">
      <c r="A5" s="550" t="s">
        <v>0</v>
      </c>
      <c r="B5" s="551"/>
      <c r="C5" s="328" t="s">
        <v>7</v>
      </c>
      <c r="D5" s="329" t="s">
        <v>8</v>
      </c>
      <c r="E5" s="329" t="s">
        <v>9</v>
      </c>
      <c r="F5" s="330" t="s">
        <v>189</v>
      </c>
      <c r="G5" s="330" t="s">
        <v>190</v>
      </c>
      <c r="H5" s="330" t="s">
        <v>191</v>
      </c>
      <c r="I5" s="330" t="s">
        <v>11</v>
      </c>
      <c r="J5" s="330" t="s">
        <v>192</v>
      </c>
      <c r="K5" s="330" t="s">
        <v>193</v>
      </c>
      <c r="L5" s="330" t="s">
        <v>194</v>
      </c>
      <c r="M5" s="330" t="s">
        <v>195</v>
      </c>
      <c r="N5" s="330" t="s">
        <v>196</v>
      </c>
      <c r="O5" s="330" t="s">
        <v>281</v>
      </c>
      <c r="P5" s="330" t="s">
        <v>14</v>
      </c>
      <c r="Q5" s="330" t="s">
        <v>15</v>
      </c>
      <c r="R5" s="330" t="s">
        <v>16</v>
      </c>
      <c r="S5" s="330" t="s">
        <v>17</v>
      </c>
      <c r="T5" s="330" t="s">
        <v>158</v>
      </c>
      <c r="U5" s="330" t="s">
        <v>159</v>
      </c>
      <c r="V5" s="331" t="s">
        <v>197</v>
      </c>
      <c r="W5" s="331" t="s">
        <v>124</v>
      </c>
      <c r="X5" s="331" t="s">
        <v>198</v>
      </c>
      <c r="Y5" s="331" t="s">
        <v>19</v>
      </c>
      <c r="Z5" s="331" t="s">
        <v>20</v>
      </c>
      <c r="AA5" s="331" t="s">
        <v>21</v>
      </c>
      <c r="AB5" s="331" t="s">
        <v>22</v>
      </c>
      <c r="AC5" s="331" t="s">
        <v>23</v>
      </c>
      <c r="AD5" s="330" t="s">
        <v>125</v>
      </c>
      <c r="AE5" s="332"/>
    </row>
    <row r="6" spans="1:48" ht="16.5" thickBot="1">
      <c r="A6" s="333"/>
      <c r="B6" s="334" t="s">
        <v>347</v>
      </c>
      <c r="C6" s="335">
        <v>21297356</v>
      </c>
      <c r="D6" s="335">
        <v>548765797</v>
      </c>
      <c r="E6" s="336">
        <v>48154810</v>
      </c>
      <c r="F6" s="337">
        <v>54852504</v>
      </c>
      <c r="G6" s="335">
        <v>10065312</v>
      </c>
      <c r="H6" s="335">
        <v>3488221</v>
      </c>
      <c r="I6" s="335">
        <v>9743396</v>
      </c>
      <c r="J6" s="335">
        <v>8616280</v>
      </c>
      <c r="K6" s="335">
        <v>46082699</v>
      </c>
      <c r="L6" s="335">
        <v>421563615</v>
      </c>
      <c r="M6" s="335">
        <v>269243512</v>
      </c>
      <c r="N6" s="335">
        <v>12371835</v>
      </c>
      <c r="O6" s="335">
        <v>0</v>
      </c>
      <c r="P6" s="335">
        <v>21001890</v>
      </c>
      <c r="Q6" s="335">
        <v>8422558</v>
      </c>
      <c r="R6" s="335">
        <v>2610245</v>
      </c>
      <c r="S6" s="335">
        <v>3155510</v>
      </c>
      <c r="T6" s="335">
        <v>26075221</v>
      </c>
      <c r="U6" s="335">
        <v>1887363</v>
      </c>
      <c r="V6" s="338">
        <v>57609430</v>
      </c>
      <c r="W6" s="338">
        <v>6238964</v>
      </c>
      <c r="X6" s="338">
        <v>9399818</v>
      </c>
      <c r="Y6" s="338">
        <v>45143834</v>
      </c>
      <c r="Z6" s="338">
        <v>18516156</v>
      </c>
      <c r="AA6" s="338">
        <v>12464149</v>
      </c>
      <c r="AB6" s="338">
        <v>992155</v>
      </c>
      <c r="AC6" s="338">
        <v>35071483</v>
      </c>
      <c r="AD6" s="335">
        <v>37715330</v>
      </c>
      <c r="AE6" s="336">
        <f>SUM(C6:AD6)</f>
        <v>1740549443</v>
      </c>
    </row>
    <row r="7" spans="1:48" ht="31.5">
      <c r="A7" s="508" t="s">
        <v>216</v>
      </c>
      <c r="B7" s="509" t="s">
        <v>348</v>
      </c>
      <c r="C7" s="339">
        <v>0</v>
      </c>
      <c r="D7" s="339">
        <v>3578307</v>
      </c>
      <c r="E7" s="339">
        <v>773717</v>
      </c>
      <c r="F7" s="339"/>
      <c r="G7" s="339"/>
      <c r="H7" s="339"/>
      <c r="I7" s="339">
        <v>780754</v>
      </c>
      <c r="J7" s="339"/>
      <c r="K7" s="339">
        <v>-4131478</v>
      </c>
      <c r="L7" s="339">
        <v>0</v>
      </c>
      <c r="M7" s="339">
        <v>0</v>
      </c>
      <c r="N7" s="339">
        <v>0</v>
      </c>
      <c r="O7" s="339">
        <v>0</v>
      </c>
      <c r="P7" s="339">
        <v>0</v>
      </c>
      <c r="Q7" s="339">
        <v>0</v>
      </c>
      <c r="R7" s="339">
        <v>0</v>
      </c>
      <c r="S7" s="339">
        <v>1088701</v>
      </c>
      <c r="T7" s="339"/>
      <c r="U7" s="339"/>
      <c r="V7" s="339">
        <v>0</v>
      </c>
      <c r="W7" s="339">
        <v>0</v>
      </c>
      <c r="X7" s="339">
        <v>0</v>
      </c>
      <c r="Y7" s="339">
        <v>0</v>
      </c>
      <c r="Z7" s="339">
        <v>0</v>
      </c>
      <c r="AA7" s="339">
        <v>0</v>
      </c>
      <c r="AB7" s="339">
        <v>1</v>
      </c>
      <c r="AC7" s="339">
        <v>2</v>
      </c>
      <c r="AD7" s="339">
        <v>0</v>
      </c>
      <c r="AE7" s="340">
        <f>SUM(C7:AD7)</f>
        <v>2090004</v>
      </c>
    </row>
    <row r="8" spans="1:48" ht="31.5">
      <c r="A8" s="341" t="s">
        <v>273</v>
      </c>
      <c r="B8" s="342" t="s">
        <v>349</v>
      </c>
      <c r="C8" s="339">
        <v>0</v>
      </c>
      <c r="D8" s="339">
        <v>23453959</v>
      </c>
      <c r="E8" s="339">
        <v>1230158</v>
      </c>
      <c r="F8" s="339">
        <v>0</v>
      </c>
      <c r="G8" s="339">
        <v>0</v>
      </c>
      <c r="H8" s="339">
        <v>0</v>
      </c>
      <c r="I8" s="339">
        <v>0</v>
      </c>
      <c r="J8" s="339">
        <v>0</v>
      </c>
      <c r="K8" s="339">
        <v>0</v>
      </c>
      <c r="L8" s="339">
        <v>0</v>
      </c>
      <c r="M8" s="339">
        <v>0</v>
      </c>
      <c r="N8" s="339">
        <v>0</v>
      </c>
      <c r="O8" s="339">
        <v>0</v>
      </c>
      <c r="P8" s="339">
        <v>0</v>
      </c>
      <c r="Q8" s="339">
        <v>0</v>
      </c>
      <c r="R8" s="339">
        <v>0</v>
      </c>
      <c r="S8" s="339">
        <v>0</v>
      </c>
      <c r="T8" s="339">
        <v>34416127</v>
      </c>
      <c r="U8" s="339">
        <v>0</v>
      </c>
      <c r="V8" s="339">
        <v>138854</v>
      </c>
      <c r="W8" s="339">
        <v>6703</v>
      </c>
      <c r="X8" s="339">
        <v>0</v>
      </c>
      <c r="Y8" s="339">
        <v>0</v>
      </c>
      <c r="Z8" s="339">
        <v>376259</v>
      </c>
      <c r="AA8" s="339">
        <v>33546</v>
      </c>
      <c r="AB8" s="339">
        <v>0</v>
      </c>
      <c r="AC8" s="339">
        <v>3067626</v>
      </c>
      <c r="AD8" s="339">
        <v>940108</v>
      </c>
      <c r="AE8" s="340">
        <f t="shared" ref="AE8:AE22" si="0">SUM(C8:AD8)</f>
        <v>63663340</v>
      </c>
    </row>
    <row r="9" spans="1:48" ht="31.5">
      <c r="A9" s="341" t="s">
        <v>269</v>
      </c>
      <c r="B9" s="342" t="s">
        <v>350</v>
      </c>
      <c r="C9" s="339">
        <v>438886</v>
      </c>
      <c r="D9" s="339">
        <v>8866523</v>
      </c>
      <c r="E9" s="339">
        <v>601305</v>
      </c>
      <c r="F9" s="339">
        <v>0</v>
      </c>
      <c r="G9" s="339">
        <v>0</v>
      </c>
      <c r="H9" s="339">
        <v>0</v>
      </c>
      <c r="I9" s="339">
        <v>0</v>
      </c>
      <c r="J9" s="339">
        <v>0</v>
      </c>
      <c r="K9" s="339">
        <v>0</v>
      </c>
      <c r="L9" s="339">
        <v>0</v>
      </c>
      <c r="M9" s="339">
        <v>0</v>
      </c>
      <c r="N9" s="339">
        <v>0</v>
      </c>
      <c r="O9" s="339">
        <v>0</v>
      </c>
      <c r="P9" s="339">
        <v>0</v>
      </c>
      <c r="Q9" s="339">
        <v>0</v>
      </c>
      <c r="R9" s="339">
        <v>0</v>
      </c>
      <c r="S9" s="339">
        <v>2563</v>
      </c>
      <c r="T9" s="339">
        <v>0</v>
      </c>
      <c r="U9" s="339">
        <v>49681</v>
      </c>
      <c r="V9" s="339">
        <v>1006754</v>
      </c>
      <c r="W9" s="339">
        <v>87613</v>
      </c>
      <c r="X9" s="339">
        <v>0</v>
      </c>
      <c r="Y9" s="339">
        <v>688257</v>
      </c>
      <c r="Z9" s="339">
        <v>321203</v>
      </c>
      <c r="AA9" s="339">
        <v>116220</v>
      </c>
      <c r="AB9" s="339">
        <v>4609</v>
      </c>
      <c r="AC9" s="339">
        <v>238958</v>
      </c>
      <c r="AD9" s="339">
        <v>0</v>
      </c>
      <c r="AE9" s="340">
        <f t="shared" si="0"/>
        <v>12422572</v>
      </c>
    </row>
    <row r="10" spans="1:48" ht="31.5">
      <c r="A10" s="341" t="s">
        <v>215</v>
      </c>
      <c r="B10" s="343" t="s">
        <v>351</v>
      </c>
      <c r="C10" s="344">
        <v>5882</v>
      </c>
      <c r="D10" s="344">
        <v>16516909</v>
      </c>
      <c r="E10" s="344">
        <v>-28245</v>
      </c>
      <c r="F10" s="344">
        <v>112120</v>
      </c>
      <c r="G10" s="344"/>
      <c r="H10" s="344"/>
      <c r="I10" s="344"/>
      <c r="J10" s="344"/>
      <c r="K10" s="344"/>
      <c r="L10" s="344">
        <v>-13194872</v>
      </c>
      <c r="M10" s="344">
        <v>-2082893</v>
      </c>
      <c r="N10" s="344">
        <v>0</v>
      </c>
      <c r="O10" s="344">
        <v>0</v>
      </c>
      <c r="P10" s="344">
        <v>0</v>
      </c>
      <c r="Q10" s="344">
        <v>0</v>
      </c>
      <c r="R10" s="344">
        <v>0</v>
      </c>
      <c r="S10" s="344">
        <v>0</v>
      </c>
      <c r="T10" s="344">
        <v>-337</v>
      </c>
      <c r="U10" s="344">
        <v>0</v>
      </c>
      <c r="V10" s="344">
        <v>15095</v>
      </c>
      <c r="W10" s="344">
        <v>-13791</v>
      </c>
      <c r="X10" s="344">
        <v>0</v>
      </c>
      <c r="Y10" s="344">
        <v>-2321</v>
      </c>
      <c r="Z10" s="344">
        <v>-25659</v>
      </c>
      <c r="AA10" s="344">
        <v>-148489</v>
      </c>
      <c r="AB10" s="344">
        <v>-4171</v>
      </c>
      <c r="AC10" s="344">
        <v>-234322</v>
      </c>
      <c r="AD10" s="344">
        <v>752139</v>
      </c>
      <c r="AE10" s="510">
        <f t="shared" si="0"/>
        <v>1667045</v>
      </c>
      <c r="AH10" s="102"/>
    </row>
    <row r="11" spans="1:48" ht="31.5">
      <c r="A11" s="341" t="s">
        <v>271</v>
      </c>
      <c r="B11" s="342" t="s">
        <v>352</v>
      </c>
      <c r="C11" s="345">
        <v>0</v>
      </c>
      <c r="D11" s="345">
        <v>0</v>
      </c>
      <c r="E11" s="345">
        <v>-1520308</v>
      </c>
      <c r="F11" s="345">
        <v>0</v>
      </c>
      <c r="G11" s="345">
        <v>0</v>
      </c>
      <c r="H11" s="345">
        <v>0</v>
      </c>
      <c r="I11" s="345">
        <v>0</v>
      </c>
      <c r="J11" s="345">
        <v>0</v>
      </c>
      <c r="K11" s="345">
        <v>0</v>
      </c>
      <c r="L11" s="345">
        <v>0</v>
      </c>
      <c r="M11" s="345">
        <v>0</v>
      </c>
      <c r="N11" s="345">
        <v>0</v>
      </c>
      <c r="O11" s="345">
        <v>0</v>
      </c>
      <c r="P11" s="345">
        <v>0</v>
      </c>
      <c r="Q11" s="345">
        <v>0</v>
      </c>
      <c r="R11" s="345">
        <v>0</v>
      </c>
      <c r="S11" s="345">
        <v>0</v>
      </c>
      <c r="T11" s="345">
        <v>0</v>
      </c>
      <c r="U11" s="345">
        <v>0</v>
      </c>
      <c r="V11" s="345">
        <v>0</v>
      </c>
      <c r="W11" s="345">
        <v>0</v>
      </c>
      <c r="X11" s="345">
        <v>0</v>
      </c>
      <c r="Y11" s="345">
        <v>-37897</v>
      </c>
      <c r="Z11" s="345">
        <v>0</v>
      </c>
      <c r="AA11" s="345">
        <v>-176221</v>
      </c>
      <c r="AB11" s="345">
        <v>0</v>
      </c>
      <c r="AC11" s="345">
        <v>500000</v>
      </c>
      <c r="AD11" s="345">
        <v>0</v>
      </c>
      <c r="AE11" s="511">
        <f t="shared" si="0"/>
        <v>-1234426</v>
      </c>
    </row>
    <row r="12" spans="1:48" ht="31.5">
      <c r="A12" s="346" t="s">
        <v>185</v>
      </c>
      <c r="B12" s="342" t="s">
        <v>353</v>
      </c>
      <c r="C12" s="345">
        <v>37246</v>
      </c>
      <c r="D12" s="345">
        <v>745711</v>
      </c>
      <c r="E12" s="345">
        <v>90077</v>
      </c>
      <c r="F12" s="345">
        <v>0</v>
      </c>
      <c r="G12" s="345">
        <v>0</v>
      </c>
      <c r="H12" s="345">
        <v>0</v>
      </c>
      <c r="I12" s="345">
        <v>0</v>
      </c>
      <c r="J12" s="345">
        <v>-47866</v>
      </c>
      <c r="K12" s="345">
        <v>0</v>
      </c>
      <c r="L12" s="345">
        <v>0</v>
      </c>
      <c r="M12" s="345">
        <v>0</v>
      </c>
      <c r="N12" s="345">
        <v>0</v>
      </c>
      <c r="O12" s="345">
        <v>0</v>
      </c>
      <c r="P12" s="345">
        <v>0</v>
      </c>
      <c r="Q12" s="345">
        <v>0</v>
      </c>
      <c r="R12" s="345">
        <v>0</v>
      </c>
      <c r="S12" s="345">
        <v>165</v>
      </c>
      <c r="T12" s="345">
        <v>-5822792</v>
      </c>
      <c r="U12" s="345">
        <v>5826141</v>
      </c>
      <c r="V12" s="345">
        <v>131461</v>
      </c>
      <c r="W12" s="345">
        <v>-43998</v>
      </c>
      <c r="X12" s="345">
        <v>0</v>
      </c>
      <c r="Y12" s="345">
        <v>1567539</v>
      </c>
      <c r="Z12" s="345">
        <v>359253</v>
      </c>
      <c r="AA12" s="345">
        <v>-1506141</v>
      </c>
      <c r="AB12" s="345">
        <v>-222073</v>
      </c>
      <c r="AC12" s="345">
        <v>-1114723</v>
      </c>
      <c r="AD12" s="345">
        <v>0</v>
      </c>
      <c r="AE12" s="345">
        <f t="shared" si="0"/>
        <v>0</v>
      </c>
    </row>
    <row r="13" spans="1:48" ht="31.5">
      <c r="A13" s="341" t="s">
        <v>274</v>
      </c>
      <c r="B13" s="342" t="s">
        <v>275</v>
      </c>
      <c r="C13" s="345">
        <v>0</v>
      </c>
      <c r="D13" s="345">
        <v>0</v>
      </c>
      <c r="E13" s="345">
        <v>0</v>
      </c>
      <c r="F13" s="345">
        <v>0</v>
      </c>
      <c r="G13" s="345">
        <v>0</v>
      </c>
      <c r="H13" s="345">
        <v>0</v>
      </c>
      <c r="I13" s="345">
        <v>0</v>
      </c>
      <c r="J13" s="345">
        <v>0</v>
      </c>
      <c r="K13" s="345">
        <v>0</v>
      </c>
      <c r="L13" s="345">
        <v>-9559738</v>
      </c>
      <c r="M13" s="345">
        <v>-684839</v>
      </c>
      <c r="N13" s="345">
        <v>0</v>
      </c>
      <c r="O13" s="345">
        <v>0</v>
      </c>
      <c r="P13" s="345">
        <v>0</v>
      </c>
      <c r="Q13" s="345">
        <v>0</v>
      </c>
      <c r="R13" s="345">
        <v>0</v>
      </c>
      <c r="S13" s="345">
        <v>0</v>
      </c>
      <c r="T13" s="345">
        <v>0</v>
      </c>
      <c r="U13" s="345">
        <v>0</v>
      </c>
      <c r="V13" s="345">
        <v>0</v>
      </c>
      <c r="W13" s="345">
        <v>0</v>
      </c>
      <c r="X13" s="345">
        <v>0</v>
      </c>
      <c r="Y13" s="345">
        <v>0</v>
      </c>
      <c r="Z13" s="345">
        <v>0</v>
      </c>
      <c r="AA13" s="345">
        <v>0</v>
      </c>
      <c r="AB13" s="345">
        <v>0</v>
      </c>
      <c r="AC13" s="345">
        <v>0</v>
      </c>
      <c r="AD13" s="345">
        <v>0</v>
      </c>
      <c r="AE13" s="340">
        <f t="shared" si="0"/>
        <v>-10244577</v>
      </c>
    </row>
    <row r="14" spans="1:48" ht="31.5">
      <c r="A14" s="341" t="s">
        <v>388</v>
      </c>
      <c r="B14" s="347" t="s">
        <v>389</v>
      </c>
      <c r="C14" s="344">
        <v>0</v>
      </c>
      <c r="D14" s="344">
        <v>51450261</v>
      </c>
      <c r="E14" s="344">
        <v>0</v>
      </c>
      <c r="F14" s="344">
        <v>0</v>
      </c>
      <c r="G14" s="344">
        <v>0</v>
      </c>
      <c r="H14" s="344">
        <v>0</v>
      </c>
      <c r="I14" s="344">
        <v>0</v>
      </c>
      <c r="J14" s="344">
        <v>0</v>
      </c>
      <c r="K14" s="344">
        <v>0</v>
      </c>
      <c r="L14" s="344">
        <v>12200000</v>
      </c>
      <c r="M14" s="344">
        <v>0</v>
      </c>
      <c r="N14" s="344">
        <v>0</v>
      </c>
      <c r="O14" s="344">
        <v>0</v>
      </c>
      <c r="P14" s="344">
        <v>0</v>
      </c>
      <c r="Q14" s="344">
        <v>0</v>
      </c>
      <c r="R14" s="344">
        <v>0</v>
      </c>
      <c r="S14" s="344">
        <v>0</v>
      </c>
      <c r="T14" s="344">
        <v>0</v>
      </c>
      <c r="U14" s="344">
        <v>0</v>
      </c>
      <c r="V14" s="344">
        <v>0</v>
      </c>
      <c r="W14" s="344">
        <v>0</v>
      </c>
      <c r="X14" s="344">
        <v>0</v>
      </c>
      <c r="Y14" s="344">
        <v>0</v>
      </c>
      <c r="Z14" s="344">
        <v>0</v>
      </c>
      <c r="AA14" s="344">
        <v>0</v>
      </c>
      <c r="AB14" s="344">
        <v>0</v>
      </c>
      <c r="AC14" s="344">
        <v>0</v>
      </c>
      <c r="AD14" s="344">
        <v>0</v>
      </c>
      <c r="AE14" s="340">
        <f t="shared" si="0"/>
        <v>63650261</v>
      </c>
    </row>
    <row r="15" spans="1:48" ht="31.5">
      <c r="A15" s="341" t="s">
        <v>287</v>
      </c>
      <c r="B15" s="347" t="s">
        <v>289</v>
      </c>
      <c r="C15" s="348">
        <v>0</v>
      </c>
      <c r="D15" s="535">
        <v>8337312</v>
      </c>
      <c r="E15" s="348">
        <v>0</v>
      </c>
      <c r="F15" s="348">
        <v>0</v>
      </c>
      <c r="G15" s="348">
        <v>0</v>
      </c>
      <c r="H15" s="348">
        <v>0</v>
      </c>
      <c r="I15" s="348">
        <v>0</v>
      </c>
      <c r="J15" s="348">
        <v>0</v>
      </c>
      <c r="K15" s="348">
        <v>0</v>
      </c>
      <c r="L15" s="348">
        <v>0</v>
      </c>
      <c r="M15" s="348">
        <v>0</v>
      </c>
      <c r="N15" s="348">
        <v>0</v>
      </c>
      <c r="O15" s="348">
        <v>0</v>
      </c>
      <c r="P15" s="348">
        <v>0</v>
      </c>
      <c r="Q15" s="348">
        <v>0</v>
      </c>
      <c r="R15" s="348">
        <v>0</v>
      </c>
      <c r="S15" s="348">
        <v>0</v>
      </c>
      <c r="T15" s="348">
        <v>0</v>
      </c>
      <c r="U15" s="348">
        <v>0</v>
      </c>
      <c r="V15" s="348">
        <v>0</v>
      </c>
      <c r="W15" s="348">
        <v>0</v>
      </c>
      <c r="X15" s="348">
        <v>0</v>
      </c>
      <c r="Y15" s="348">
        <v>0</v>
      </c>
      <c r="Z15" s="348">
        <v>0</v>
      </c>
      <c r="AA15" s="348">
        <v>0</v>
      </c>
      <c r="AB15" s="348">
        <v>0</v>
      </c>
      <c r="AC15" s="348">
        <v>0</v>
      </c>
      <c r="AD15" s="348">
        <v>42806526</v>
      </c>
      <c r="AE15" s="340">
        <f t="shared" si="0"/>
        <v>51143838</v>
      </c>
    </row>
    <row r="16" spans="1:48">
      <c r="A16" s="341" t="s">
        <v>277</v>
      </c>
      <c r="B16" s="347" t="s">
        <v>354</v>
      </c>
      <c r="C16" s="348">
        <v>0</v>
      </c>
      <c r="D16" s="348">
        <v>0</v>
      </c>
      <c r="E16" s="348">
        <v>0</v>
      </c>
      <c r="F16" s="348">
        <v>0</v>
      </c>
      <c r="G16" s="348">
        <v>0</v>
      </c>
      <c r="H16" s="348">
        <v>0</v>
      </c>
      <c r="I16" s="348">
        <v>0</v>
      </c>
      <c r="J16" s="348">
        <v>0</v>
      </c>
      <c r="K16" s="348">
        <v>0</v>
      </c>
      <c r="L16" s="348">
        <v>0</v>
      </c>
      <c r="M16" s="348">
        <v>0</v>
      </c>
      <c r="N16" s="348">
        <v>0</v>
      </c>
      <c r="O16" s="348">
        <v>0</v>
      </c>
      <c r="P16" s="348">
        <v>0</v>
      </c>
      <c r="Q16" s="348">
        <v>0</v>
      </c>
      <c r="R16" s="348">
        <v>0</v>
      </c>
      <c r="S16" s="348">
        <v>0</v>
      </c>
      <c r="T16" s="348">
        <v>2409036</v>
      </c>
      <c r="U16" s="348">
        <v>0</v>
      </c>
      <c r="V16" s="348">
        <v>0</v>
      </c>
      <c r="W16" s="348">
        <v>0</v>
      </c>
      <c r="X16" s="348">
        <v>0</v>
      </c>
      <c r="Y16" s="348">
        <v>0</v>
      </c>
      <c r="Z16" s="348">
        <v>0</v>
      </c>
      <c r="AA16" s="348">
        <v>0</v>
      </c>
      <c r="AB16" s="348">
        <v>0</v>
      </c>
      <c r="AC16" s="348">
        <v>0</v>
      </c>
      <c r="AD16" s="348">
        <v>0</v>
      </c>
      <c r="AE16" s="340">
        <f t="shared" si="0"/>
        <v>2409036</v>
      </c>
    </row>
    <row r="17" spans="1:34">
      <c r="A17" s="349" t="s">
        <v>355</v>
      </c>
      <c r="B17" s="342" t="s">
        <v>356</v>
      </c>
      <c r="C17" s="348">
        <v>0</v>
      </c>
      <c r="D17" s="348">
        <v>0</v>
      </c>
      <c r="E17" s="348">
        <v>0</v>
      </c>
      <c r="F17" s="348">
        <v>0</v>
      </c>
      <c r="G17" s="348">
        <v>0</v>
      </c>
      <c r="H17" s="348">
        <v>0</v>
      </c>
      <c r="I17" s="348">
        <v>0</v>
      </c>
      <c r="J17" s="348">
        <v>0</v>
      </c>
      <c r="K17" s="348">
        <v>0</v>
      </c>
      <c r="L17" s="348">
        <v>0</v>
      </c>
      <c r="M17" s="348">
        <v>0</v>
      </c>
      <c r="N17" s="348">
        <v>0</v>
      </c>
      <c r="O17" s="348">
        <v>0</v>
      </c>
      <c r="P17" s="348">
        <v>0</v>
      </c>
      <c r="Q17" s="348">
        <v>0</v>
      </c>
      <c r="R17" s="348">
        <v>0</v>
      </c>
      <c r="S17" s="348">
        <v>0</v>
      </c>
      <c r="T17" s="348">
        <v>0</v>
      </c>
      <c r="U17" s="348">
        <v>0</v>
      </c>
      <c r="V17" s="348">
        <v>0</v>
      </c>
      <c r="W17" s="348">
        <v>0</v>
      </c>
      <c r="X17" s="348">
        <v>0</v>
      </c>
      <c r="Y17" s="348">
        <v>0</v>
      </c>
      <c r="Z17" s="348">
        <v>0</v>
      </c>
      <c r="AA17" s="348">
        <v>0</v>
      </c>
      <c r="AB17" s="348">
        <v>0</v>
      </c>
      <c r="AC17" s="348">
        <v>2708652</v>
      </c>
      <c r="AD17" s="348">
        <v>0</v>
      </c>
      <c r="AE17" s="340">
        <f t="shared" si="0"/>
        <v>2708652</v>
      </c>
    </row>
    <row r="18" spans="1:34" ht="16.5" thickBot="1">
      <c r="A18" s="349" t="s">
        <v>385</v>
      </c>
      <c r="B18" s="395" t="s">
        <v>386</v>
      </c>
      <c r="C18" s="396">
        <v>0</v>
      </c>
      <c r="D18" s="420">
        <v>21000000</v>
      </c>
      <c r="E18" s="420">
        <v>0</v>
      </c>
      <c r="F18" s="420">
        <v>0</v>
      </c>
      <c r="G18" s="420">
        <v>0</v>
      </c>
      <c r="H18" s="420">
        <v>0</v>
      </c>
      <c r="I18" s="420">
        <v>0</v>
      </c>
      <c r="J18" s="420">
        <v>0</v>
      </c>
      <c r="K18" s="420">
        <v>0</v>
      </c>
      <c r="L18" s="420">
        <v>-21000000</v>
      </c>
      <c r="M18" s="396">
        <v>0</v>
      </c>
      <c r="N18" s="396">
        <v>0</v>
      </c>
      <c r="O18" s="396">
        <v>0</v>
      </c>
      <c r="P18" s="396">
        <v>0</v>
      </c>
      <c r="Q18" s="396">
        <v>0</v>
      </c>
      <c r="R18" s="396">
        <v>0</v>
      </c>
      <c r="S18" s="396">
        <v>0</v>
      </c>
      <c r="T18" s="396">
        <v>0</v>
      </c>
      <c r="U18" s="396">
        <v>0</v>
      </c>
      <c r="V18" s="396">
        <v>0</v>
      </c>
      <c r="W18" s="396">
        <v>0</v>
      </c>
      <c r="X18" s="396">
        <v>0</v>
      </c>
      <c r="Y18" s="396">
        <v>0</v>
      </c>
      <c r="Z18" s="396">
        <v>0</v>
      </c>
      <c r="AA18" s="396">
        <v>0</v>
      </c>
      <c r="AB18" s="396">
        <v>0</v>
      </c>
      <c r="AC18" s="396">
        <v>0</v>
      </c>
      <c r="AD18" s="396">
        <v>0</v>
      </c>
      <c r="AE18" s="512">
        <f t="shared" si="0"/>
        <v>0</v>
      </c>
    </row>
    <row r="19" spans="1:34" ht="16.5" thickBot="1">
      <c r="A19" s="350"/>
      <c r="B19" s="351" t="s">
        <v>169</v>
      </c>
      <c r="C19" s="352">
        <f>SUM(C7:C18)</f>
        <v>482014</v>
      </c>
      <c r="D19" s="352">
        <f t="shared" ref="D19:AC19" si="1">SUM(D7:D18)</f>
        <v>133948982</v>
      </c>
      <c r="E19" s="352">
        <f>SUM(E7:E18)</f>
        <v>1146704</v>
      </c>
      <c r="F19" s="352">
        <f t="shared" si="1"/>
        <v>112120</v>
      </c>
      <c r="G19" s="352">
        <f t="shared" si="1"/>
        <v>0</v>
      </c>
      <c r="H19" s="352">
        <f t="shared" si="1"/>
        <v>0</v>
      </c>
      <c r="I19" s="352">
        <f t="shared" si="1"/>
        <v>780754</v>
      </c>
      <c r="J19" s="352">
        <f t="shared" si="1"/>
        <v>-47866</v>
      </c>
      <c r="K19" s="352">
        <f t="shared" si="1"/>
        <v>-4131478</v>
      </c>
      <c r="L19" s="352">
        <f t="shared" si="1"/>
        <v>-31554610</v>
      </c>
      <c r="M19" s="352">
        <f t="shared" si="1"/>
        <v>-2767732</v>
      </c>
      <c r="N19" s="352">
        <f t="shared" si="1"/>
        <v>0</v>
      </c>
      <c r="O19" s="352">
        <f t="shared" si="1"/>
        <v>0</v>
      </c>
      <c r="P19" s="352">
        <f t="shared" si="1"/>
        <v>0</v>
      </c>
      <c r="Q19" s="352">
        <f t="shared" si="1"/>
        <v>0</v>
      </c>
      <c r="R19" s="352">
        <f t="shared" si="1"/>
        <v>0</v>
      </c>
      <c r="S19" s="352">
        <f t="shared" si="1"/>
        <v>1091429</v>
      </c>
      <c r="T19" s="352">
        <f t="shared" si="1"/>
        <v>31002034</v>
      </c>
      <c r="U19" s="352">
        <f t="shared" si="1"/>
        <v>5875822</v>
      </c>
      <c r="V19" s="352">
        <f t="shared" si="1"/>
        <v>1292164</v>
      </c>
      <c r="W19" s="352">
        <f t="shared" si="1"/>
        <v>36527</v>
      </c>
      <c r="X19" s="352">
        <f t="shared" si="1"/>
        <v>0</v>
      </c>
      <c r="Y19" s="352">
        <f t="shared" si="1"/>
        <v>2215578</v>
      </c>
      <c r="Z19" s="352">
        <f t="shared" si="1"/>
        <v>1031056</v>
      </c>
      <c r="AA19" s="352">
        <f t="shared" si="1"/>
        <v>-1681085</v>
      </c>
      <c r="AB19" s="352">
        <f t="shared" si="1"/>
        <v>-221634</v>
      </c>
      <c r="AC19" s="352">
        <f t="shared" si="1"/>
        <v>5166193</v>
      </c>
      <c r="AD19" s="352">
        <f>SUM(AD7:AD18)</f>
        <v>44498773</v>
      </c>
      <c r="AE19" s="513">
        <f>SUM(C19:AD19)</f>
        <v>188275745</v>
      </c>
      <c r="AF19" s="421"/>
      <c r="AH19" s="102"/>
    </row>
    <row r="20" spans="1:34">
      <c r="A20" s="353"/>
      <c r="B20" s="354" t="s">
        <v>4</v>
      </c>
      <c r="C20" s="355">
        <v>471937</v>
      </c>
      <c r="D20" s="355">
        <v>58094753</v>
      </c>
      <c r="E20" s="355">
        <v>1848233</v>
      </c>
      <c r="F20" s="355">
        <v>0</v>
      </c>
      <c r="G20" s="355">
        <v>0</v>
      </c>
      <c r="H20" s="355">
        <v>0</v>
      </c>
      <c r="I20" s="355">
        <v>0</v>
      </c>
      <c r="J20" s="355">
        <v>-47866</v>
      </c>
      <c r="K20" s="355">
        <v>0</v>
      </c>
      <c r="L20" s="355">
        <v>-30559738</v>
      </c>
      <c r="M20" s="355">
        <v>-684839</v>
      </c>
      <c r="N20" s="355">
        <v>0</v>
      </c>
      <c r="O20" s="355">
        <v>0</v>
      </c>
      <c r="P20" s="355">
        <v>0</v>
      </c>
      <c r="Q20" s="355">
        <v>0</v>
      </c>
      <c r="R20" s="355">
        <v>0</v>
      </c>
      <c r="S20" s="355">
        <v>2728</v>
      </c>
      <c r="T20" s="355">
        <v>9087102</v>
      </c>
      <c r="U20" s="355">
        <v>3134652</v>
      </c>
      <c r="V20" s="355">
        <v>1182379</v>
      </c>
      <c r="W20" s="355">
        <v>52812</v>
      </c>
      <c r="X20" s="355">
        <v>0</v>
      </c>
      <c r="Y20" s="355">
        <v>2220127</v>
      </c>
      <c r="Z20" s="355">
        <v>995359</v>
      </c>
      <c r="AA20" s="355">
        <v>-1368066</v>
      </c>
      <c r="AB20" s="355">
        <v>-197379</v>
      </c>
      <c r="AC20" s="355">
        <v>4734683</v>
      </c>
      <c r="AD20" s="355">
        <v>37237853</v>
      </c>
      <c r="AE20" s="356">
        <f t="shared" si="0"/>
        <v>86204730</v>
      </c>
      <c r="AH20" s="102"/>
    </row>
    <row r="21" spans="1:34">
      <c r="A21" s="353"/>
      <c r="B21" s="357" t="s">
        <v>282</v>
      </c>
      <c r="C21" s="358">
        <v>10077</v>
      </c>
      <c r="D21" s="358">
        <v>75854231</v>
      </c>
      <c r="E21" s="358">
        <v>818777</v>
      </c>
      <c r="F21" s="358">
        <v>112120</v>
      </c>
      <c r="G21" s="358">
        <v>0</v>
      </c>
      <c r="H21" s="358">
        <v>0</v>
      </c>
      <c r="I21" s="358">
        <v>780754</v>
      </c>
      <c r="J21" s="358">
        <v>0</v>
      </c>
      <c r="K21" s="358">
        <v>-4131478</v>
      </c>
      <c r="L21" s="358">
        <v>-994872</v>
      </c>
      <c r="M21" s="358">
        <v>-2082893</v>
      </c>
      <c r="N21" s="358">
        <v>0</v>
      </c>
      <c r="O21" s="358">
        <v>0</v>
      </c>
      <c r="P21" s="358">
        <v>0</v>
      </c>
      <c r="Q21" s="358">
        <v>0</v>
      </c>
      <c r="R21" s="358">
        <v>0</v>
      </c>
      <c r="S21" s="358">
        <v>1088701</v>
      </c>
      <c r="T21" s="358">
        <v>22522680</v>
      </c>
      <c r="U21" s="358">
        <v>2133422</v>
      </c>
      <c r="V21" s="358">
        <v>109785</v>
      </c>
      <c r="W21" s="358">
        <v>-16285</v>
      </c>
      <c r="X21" s="358">
        <v>0</v>
      </c>
      <c r="Y21" s="358">
        <v>37744</v>
      </c>
      <c r="Z21" s="358">
        <v>35697</v>
      </c>
      <c r="AA21" s="358">
        <v>-141194</v>
      </c>
      <c r="AB21" s="358">
        <v>-24255</v>
      </c>
      <c r="AC21" s="358">
        <v>-68490</v>
      </c>
      <c r="AD21" s="358">
        <v>7260920</v>
      </c>
      <c r="AE21" s="359">
        <f t="shared" si="0"/>
        <v>103305441</v>
      </c>
      <c r="AH21" s="102"/>
    </row>
    <row r="22" spans="1:34" ht="16.5" thickBot="1">
      <c r="A22" s="353"/>
      <c r="B22" s="357" t="s">
        <v>36</v>
      </c>
      <c r="C22" s="358"/>
      <c r="D22" s="358">
        <v>0</v>
      </c>
      <c r="E22" s="358">
        <v>-1520308</v>
      </c>
      <c r="F22" s="358"/>
      <c r="G22" s="358"/>
      <c r="H22" s="358"/>
      <c r="I22" s="358">
        <v>0</v>
      </c>
      <c r="J22" s="358"/>
      <c r="K22" s="358"/>
      <c r="L22" s="358">
        <v>0</v>
      </c>
      <c r="M22" s="358"/>
      <c r="N22" s="358"/>
      <c r="O22" s="358">
        <v>0</v>
      </c>
      <c r="P22" s="358"/>
      <c r="Q22" s="358"/>
      <c r="R22" s="358"/>
      <c r="S22" s="358">
        <v>0</v>
      </c>
      <c r="T22" s="358"/>
      <c r="U22" s="358"/>
      <c r="V22" s="358"/>
      <c r="W22" s="358">
        <v>0</v>
      </c>
      <c r="X22" s="358"/>
      <c r="Y22" s="358">
        <v>-42344</v>
      </c>
      <c r="Z22" s="358"/>
      <c r="AA22" s="358">
        <v>-171774</v>
      </c>
      <c r="AB22" s="358"/>
      <c r="AC22" s="358">
        <v>500000</v>
      </c>
      <c r="AD22" s="358"/>
      <c r="AE22" s="359">
        <f t="shared" si="0"/>
        <v>-1234426</v>
      </c>
      <c r="AH22" s="102"/>
    </row>
    <row r="23" spans="1:34" ht="16.5" thickBot="1">
      <c r="A23" s="360"/>
      <c r="B23" s="351" t="s">
        <v>357</v>
      </c>
      <c r="C23" s="419">
        <f>C19+C6</f>
        <v>21779370</v>
      </c>
      <c r="D23" s="419">
        <f t="shared" ref="D23:AD23" si="2">D19+D6</f>
        <v>682714779</v>
      </c>
      <c r="E23" s="419">
        <f t="shared" si="2"/>
        <v>49301514</v>
      </c>
      <c r="F23" s="419">
        <f t="shared" si="2"/>
        <v>54964624</v>
      </c>
      <c r="G23" s="419">
        <f t="shared" si="2"/>
        <v>10065312</v>
      </c>
      <c r="H23" s="419">
        <f t="shared" si="2"/>
        <v>3488221</v>
      </c>
      <c r="I23" s="419">
        <f t="shared" si="2"/>
        <v>10524150</v>
      </c>
      <c r="J23" s="419">
        <f t="shared" si="2"/>
        <v>8568414</v>
      </c>
      <c r="K23" s="419">
        <f t="shared" si="2"/>
        <v>41951221</v>
      </c>
      <c r="L23" s="419">
        <f>L19+L6</f>
        <v>390009005</v>
      </c>
      <c r="M23" s="419">
        <f t="shared" si="2"/>
        <v>266475780</v>
      </c>
      <c r="N23" s="419">
        <f t="shared" si="2"/>
        <v>12371835</v>
      </c>
      <c r="O23" s="419">
        <f t="shared" si="2"/>
        <v>0</v>
      </c>
      <c r="P23" s="419">
        <f t="shared" si="2"/>
        <v>21001890</v>
      </c>
      <c r="Q23" s="419">
        <f t="shared" si="2"/>
        <v>8422558</v>
      </c>
      <c r="R23" s="419">
        <f t="shared" si="2"/>
        <v>2610245</v>
      </c>
      <c r="S23" s="419">
        <f t="shared" si="2"/>
        <v>4246939</v>
      </c>
      <c r="T23" s="419">
        <f t="shared" si="2"/>
        <v>57077255</v>
      </c>
      <c r="U23" s="419">
        <f t="shared" si="2"/>
        <v>7763185</v>
      </c>
      <c r="V23" s="419">
        <f t="shared" si="2"/>
        <v>58901594</v>
      </c>
      <c r="W23" s="419">
        <f t="shared" si="2"/>
        <v>6275491</v>
      </c>
      <c r="X23" s="419">
        <f t="shared" si="2"/>
        <v>9399818</v>
      </c>
      <c r="Y23" s="419">
        <f t="shared" si="2"/>
        <v>47359412</v>
      </c>
      <c r="Z23" s="419">
        <f t="shared" si="2"/>
        <v>19547212</v>
      </c>
      <c r="AA23" s="419">
        <f t="shared" si="2"/>
        <v>10783064</v>
      </c>
      <c r="AB23" s="419">
        <f t="shared" si="2"/>
        <v>770521</v>
      </c>
      <c r="AC23" s="419">
        <f t="shared" si="2"/>
        <v>40237676</v>
      </c>
      <c r="AD23" s="419">
        <f t="shared" si="2"/>
        <v>82214103</v>
      </c>
      <c r="AE23" s="514">
        <f>AE19+AE6</f>
        <v>1928825188</v>
      </c>
      <c r="AF23" s="421"/>
      <c r="AH23" s="102"/>
    </row>
    <row r="24" spans="1:34">
      <c r="A24" s="136"/>
      <c r="C24" s="421"/>
      <c r="D24" s="421"/>
    </row>
    <row r="25" spans="1:34">
      <c r="A25" s="136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</row>
    <row r="26" spans="1:34">
      <c r="A26" s="136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</row>
    <row r="27" spans="1:34">
      <c r="A27" s="136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</row>
    <row r="28" spans="1:34">
      <c r="A28" s="136"/>
    </row>
    <row r="29" spans="1:34">
      <c r="A29" s="136"/>
    </row>
    <row r="30" spans="1:34">
      <c r="A30" s="136"/>
    </row>
    <row r="31" spans="1:34">
      <c r="A31" s="136"/>
    </row>
    <row r="32" spans="1:34">
      <c r="A32" s="136"/>
    </row>
    <row r="33" spans="1:31">
      <c r="A33" s="136"/>
    </row>
    <row r="34" spans="1:31">
      <c r="A34" s="136"/>
    </row>
    <row r="35" spans="1:31">
      <c r="A35" s="136"/>
    </row>
    <row r="36" spans="1:31">
      <c r="A36" s="136"/>
    </row>
    <row r="37" spans="1:31">
      <c r="A37" s="136"/>
    </row>
    <row r="38" spans="1:31" s="132" customFormat="1">
      <c r="A38" s="36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</row>
    <row r="39" spans="1:31" s="132" customFormat="1">
      <c r="A39" s="361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</row>
    <row r="40" spans="1:31" s="362" customFormat="1">
      <c r="A40" s="361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</row>
    <row r="41" spans="1:31" s="362" customFormat="1">
      <c r="A41" s="361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</row>
    <row r="42" spans="1:31" s="362" customFormat="1">
      <c r="A42" s="361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</row>
    <row r="43" spans="1:31" s="318" customFormat="1">
      <c r="A43" s="361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</row>
    <row r="65" spans="32:32">
      <c r="AF65" s="363"/>
    </row>
    <row r="66" spans="32:32">
      <c r="AF66" s="363"/>
    </row>
    <row r="67" spans="32:32">
      <c r="AF67" s="363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horizontalDpi="300" verticalDpi="300" r:id="rId1"/>
  <headerFooter alignWithMargins="0">
    <oddHeader>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58"/>
  <sheetViews>
    <sheetView zoomScale="80" zoomScaleNormal="80" workbookViewId="0">
      <pane ySplit="5" topLeftCell="A24" activePane="bottomLeft" state="frozen"/>
      <selection activeCell="H23" sqref="H23"/>
      <selection pane="bottomLeft" activeCell="H23" sqref="H23"/>
    </sheetView>
  </sheetViews>
  <sheetFormatPr defaultRowHeight="15.75"/>
  <cols>
    <col min="1" max="1" width="10" style="97" customWidth="1"/>
    <col min="2" max="2" width="49.140625" style="97" customWidth="1"/>
    <col min="3" max="7" width="15.7109375" style="98" customWidth="1"/>
    <col min="8" max="8" width="16" style="97" customWidth="1"/>
    <col min="9" max="9" width="9.140625" style="97"/>
    <col min="10" max="10" width="10.28515625" style="97" customWidth="1"/>
    <col min="11" max="11" width="12" style="97" customWidth="1"/>
    <col min="12" max="12" width="9.5703125" style="97" bestFit="1" customWidth="1"/>
    <col min="13" max="16384" width="9.140625" style="97"/>
  </cols>
  <sheetData>
    <row r="1" spans="1:13">
      <c r="A1" s="552" t="s">
        <v>3</v>
      </c>
      <c r="B1" s="552"/>
      <c r="C1" s="552"/>
      <c r="D1" s="552"/>
      <c r="E1" s="552"/>
      <c r="F1" s="552"/>
      <c r="G1" s="552"/>
      <c r="H1" s="552"/>
      <c r="I1" s="406"/>
      <c r="K1" s="406"/>
      <c r="L1" s="406"/>
      <c r="M1" s="406"/>
    </row>
    <row r="2" spans="1:13">
      <c r="A2" s="552" t="s">
        <v>266</v>
      </c>
      <c r="B2" s="552"/>
      <c r="C2" s="552"/>
      <c r="D2" s="552"/>
      <c r="E2" s="552"/>
      <c r="F2" s="552"/>
      <c r="G2" s="552"/>
      <c r="H2" s="552"/>
      <c r="I2" s="406"/>
      <c r="K2" s="406"/>
      <c r="L2" s="406"/>
      <c r="M2" s="406"/>
    </row>
    <row r="3" spans="1:13">
      <c r="A3" s="553" t="s">
        <v>423</v>
      </c>
      <c r="B3" s="553"/>
      <c r="C3" s="553"/>
      <c r="D3" s="553"/>
      <c r="E3" s="553"/>
      <c r="F3" s="553"/>
      <c r="G3" s="553"/>
      <c r="H3" s="553"/>
      <c r="I3" s="406"/>
      <c r="K3" s="406"/>
      <c r="L3" s="406"/>
      <c r="M3" s="406"/>
    </row>
    <row r="4" spans="1:13">
      <c r="A4" s="85"/>
      <c r="B4" s="431"/>
      <c r="C4" s="398"/>
      <c r="D4" s="432"/>
      <c r="E4" s="398"/>
      <c r="F4" s="398"/>
      <c r="G4" s="398"/>
      <c r="H4" s="406"/>
      <c r="I4" s="406"/>
      <c r="K4" s="406"/>
      <c r="L4" s="406"/>
      <c r="M4" s="406"/>
    </row>
    <row r="5" spans="1:13" ht="69" customHeight="1">
      <c r="A5" s="401" t="s">
        <v>1</v>
      </c>
      <c r="B5" s="402" t="s">
        <v>0</v>
      </c>
      <c r="C5" s="403" t="s">
        <v>233</v>
      </c>
      <c r="D5" s="404" t="s">
        <v>32</v>
      </c>
      <c r="E5" s="405" t="s">
        <v>381</v>
      </c>
      <c r="F5" s="405" t="s">
        <v>152</v>
      </c>
      <c r="G5" s="405" t="s">
        <v>153</v>
      </c>
      <c r="H5" s="405" t="s">
        <v>200</v>
      </c>
      <c r="I5" s="406"/>
      <c r="K5" s="406"/>
      <c r="L5" s="406"/>
      <c r="M5" s="406"/>
    </row>
    <row r="6" spans="1:13">
      <c r="A6" s="86" t="s">
        <v>24</v>
      </c>
      <c r="B6" s="87" t="s">
        <v>7</v>
      </c>
      <c r="C6" s="391">
        <v>444.1</v>
      </c>
      <c r="D6" s="88">
        <v>0</v>
      </c>
      <c r="E6" s="391">
        <v>444.1</v>
      </c>
      <c r="F6" s="392">
        <v>417.7</v>
      </c>
      <c r="G6" s="391">
        <v>427.7</v>
      </c>
      <c r="H6" s="391">
        <f>+E6-G6</f>
        <v>16.400000000000034</v>
      </c>
      <c r="I6" s="407"/>
      <c r="J6" s="406"/>
      <c r="K6" s="407"/>
      <c r="L6" s="407"/>
      <c r="M6" s="407"/>
    </row>
    <row r="7" spans="1:13">
      <c r="A7" s="89" t="s">
        <v>126</v>
      </c>
      <c r="B7" s="90"/>
      <c r="C7" s="393">
        <f>SUM(C6)</f>
        <v>444.1</v>
      </c>
      <c r="D7" s="393">
        <f t="shared" ref="D7:H7" si="0">SUM(D6)</f>
        <v>0</v>
      </c>
      <c r="E7" s="393">
        <f t="shared" si="0"/>
        <v>444.1</v>
      </c>
      <c r="F7" s="393">
        <f t="shared" si="0"/>
        <v>417.7</v>
      </c>
      <c r="G7" s="393">
        <f t="shared" si="0"/>
        <v>427.7</v>
      </c>
      <c r="H7" s="393">
        <f t="shared" si="0"/>
        <v>16.400000000000034</v>
      </c>
      <c r="I7" s="407"/>
      <c r="J7" s="406"/>
      <c r="K7" s="407"/>
      <c r="L7" s="407"/>
      <c r="M7" s="407"/>
    </row>
    <row r="8" spans="1:13">
      <c r="A8" s="86" t="s">
        <v>25</v>
      </c>
      <c r="B8" s="87" t="s">
        <v>8</v>
      </c>
      <c r="C8" s="392">
        <v>9335.9000000000015</v>
      </c>
      <c r="D8" s="92">
        <v>0</v>
      </c>
      <c r="E8" s="392">
        <v>9340.2999999999993</v>
      </c>
      <c r="F8" s="392">
        <v>9245.6</v>
      </c>
      <c r="G8" s="392">
        <v>9712</v>
      </c>
      <c r="H8" s="392">
        <f t="shared" ref="H8:H19" si="1">+E8-G8</f>
        <v>-371.70000000000073</v>
      </c>
      <c r="I8" s="407"/>
      <c r="J8" s="406"/>
      <c r="K8" s="407"/>
      <c r="L8" s="407"/>
      <c r="M8" s="407"/>
    </row>
    <row r="9" spans="1:13">
      <c r="A9" s="86" t="s">
        <v>26</v>
      </c>
      <c r="B9" s="87" t="s">
        <v>9</v>
      </c>
      <c r="C9" s="392">
        <v>560.5999999999998</v>
      </c>
      <c r="D9" s="92">
        <v>0</v>
      </c>
      <c r="E9" s="392">
        <v>549.1</v>
      </c>
      <c r="F9" s="392">
        <v>522.4</v>
      </c>
      <c r="G9" s="392">
        <v>525.1</v>
      </c>
      <c r="H9" s="392">
        <f t="shared" si="1"/>
        <v>24</v>
      </c>
      <c r="I9" s="407"/>
      <c r="J9" s="406"/>
      <c r="K9" s="407"/>
      <c r="L9" s="408"/>
      <c r="M9" s="407"/>
    </row>
    <row r="10" spans="1:13">
      <c r="A10" s="86" t="s">
        <v>27</v>
      </c>
      <c r="B10" s="87" t="s">
        <v>189</v>
      </c>
      <c r="C10" s="392">
        <v>0</v>
      </c>
      <c r="D10" s="92">
        <v>0</v>
      </c>
      <c r="E10" s="392">
        <v>0</v>
      </c>
      <c r="F10" s="392">
        <v>0</v>
      </c>
      <c r="G10" s="392">
        <v>0</v>
      </c>
      <c r="H10" s="392">
        <f t="shared" si="1"/>
        <v>0</v>
      </c>
      <c r="I10" s="407"/>
      <c r="J10" s="406"/>
      <c r="K10" s="407"/>
      <c r="L10" s="399"/>
      <c r="M10" s="407"/>
    </row>
    <row r="11" spans="1:13">
      <c r="A11" s="86" t="s">
        <v>28</v>
      </c>
      <c r="B11" s="87" t="s">
        <v>10</v>
      </c>
      <c r="C11" s="392">
        <v>0</v>
      </c>
      <c r="D11" s="92">
        <v>0</v>
      </c>
      <c r="E11" s="392">
        <v>0</v>
      </c>
      <c r="F11" s="392">
        <v>0</v>
      </c>
      <c r="G11" s="392">
        <v>0</v>
      </c>
      <c r="H11" s="392">
        <f t="shared" si="1"/>
        <v>0</v>
      </c>
      <c r="I11" s="407"/>
      <c r="J11" s="407"/>
      <c r="K11" s="407"/>
      <c r="L11" s="399"/>
      <c r="M11" s="407"/>
    </row>
    <row r="12" spans="1:13">
      <c r="A12" s="86" t="s">
        <v>29</v>
      </c>
      <c r="B12" s="87" t="s">
        <v>191</v>
      </c>
      <c r="C12" s="392">
        <v>0</v>
      </c>
      <c r="D12" s="92">
        <v>0</v>
      </c>
      <c r="E12" s="392">
        <v>0</v>
      </c>
      <c r="F12" s="392">
        <v>0</v>
      </c>
      <c r="G12" s="392">
        <v>0</v>
      </c>
      <c r="H12" s="392">
        <f t="shared" si="1"/>
        <v>0</v>
      </c>
      <c r="I12" s="407"/>
      <c r="J12" s="407"/>
      <c r="K12" s="407"/>
      <c r="L12" s="399"/>
      <c r="M12" s="407"/>
    </row>
    <row r="13" spans="1:13">
      <c r="A13" s="86" t="s">
        <v>114</v>
      </c>
      <c r="B13" s="87" t="s">
        <v>11</v>
      </c>
      <c r="C13" s="392">
        <v>0</v>
      </c>
      <c r="D13" s="92">
        <v>0</v>
      </c>
      <c r="E13" s="392">
        <v>0</v>
      </c>
      <c r="F13" s="392">
        <v>0</v>
      </c>
      <c r="G13" s="392">
        <v>0</v>
      </c>
      <c r="H13" s="392">
        <f t="shared" si="1"/>
        <v>0</v>
      </c>
      <c r="I13" s="407"/>
      <c r="J13" s="407"/>
      <c r="K13" s="407"/>
      <c r="L13" s="399"/>
      <c r="M13" s="407"/>
    </row>
    <row r="14" spans="1:13">
      <c r="A14" s="86" t="s">
        <v>115</v>
      </c>
      <c r="B14" s="87" t="s">
        <v>201</v>
      </c>
      <c r="C14" s="392">
        <v>0</v>
      </c>
      <c r="D14" s="92">
        <v>0</v>
      </c>
      <c r="E14" s="392">
        <v>0</v>
      </c>
      <c r="F14" s="392">
        <v>0</v>
      </c>
      <c r="G14" s="392">
        <v>0</v>
      </c>
      <c r="H14" s="392">
        <f t="shared" si="1"/>
        <v>0</v>
      </c>
      <c r="I14" s="407"/>
      <c r="J14" s="408"/>
      <c r="K14" s="407"/>
      <c r="L14" s="399"/>
      <c r="M14" s="407"/>
    </row>
    <row r="15" spans="1:13">
      <c r="A15" s="86" t="s">
        <v>116</v>
      </c>
      <c r="B15" s="87" t="s">
        <v>12</v>
      </c>
      <c r="C15" s="392">
        <v>0</v>
      </c>
      <c r="D15" s="92">
        <v>0</v>
      </c>
      <c r="E15" s="392">
        <v>0</v>
      </c>
      <c r="F15" s="392">
        <v>0</v>
      </c>
      <c r="G15" s="392">
        <v>0</v>
      </c>
      <c r="H15" s="392">
        <f t="shared" si="1"/>
        <v>0</v>
      </c>
      <c r="I15" s="407"/>
      <c r="J15" s="408"/>
      <c r="K15" s="407"/>
      <c r="L15" s="399"/>
      <c r="M15" s="407"/>
    </row>
    <row r="16" spans="1:13">
      <c r="A16" s="86" t="s">
        <v>117</v>
      </c>
      <c r="B16" s="87" t="s">
        <v>13</v>
      </c>
      <c r="C16" s="392">
        <v>0</v>
      </c>
      <c r="D16" s="92">
        <v>0</v>
      </c>
      <c r="E16" s="392">
        <v>0</v>
      </c>
      <c r="F16" s="392">
        <v>0</v>
      </c>
      <c r="G16" s="392">
        <v>0</v>
      </c>
      <c r="H16" s="392">
        <f t="shared" si="1"/>
        <v>0</v>
      </c>
      <c r="I16" s="407"/>
      <c r="J16" s="408"/>
      <c r="K16" s="407"/>
      <c r="L16" s="399"/>
      <c r="M16" s="407"/>
    </row>
    <row r="17" spans="1:13">
      <c r="A17" s="86" t="s">
        <v>118</v>
      </c>
      <c r="B17" s="87" t="s">
        <v>145</v>
      </c>
      <c r="C17" s="392">
        <v>0</v>
      </c>
      <c r="D17" s="92">
        <v>0</v>
      </c>
      <c r="E17" s="392">
        <v>0</v>
      </c>
      <c r="F17" s="392">
        <v>0</v>
      </c>
      <c r="G17" s="392">
        <v>0</v>
      </c>
      <c r="H17" s="392">
        <f t="shared" si="1"/>
        <v>0</v>
      </c>
      <c r="I17" s="407"/>
      <c r="J17" s="408"/>
      <c r="K17" s="407"/>
      <c r="L17" s="399"/>
      <c r="M17" s="407"/>
    </row>
    <row r="18" spans="1:13">
      <c r="A18" s="86" t="s">
        <v>119</v>
      </c>
      <c r="B18" s="87" t="s">
        <v>196</v>
      </c>
      <c r="C18" s="392">
        <v>0</v>
      </c>
      <c r="D18" s="92">
        <v>0</v>
      </c>
      <c r="E18" s="392">
        <v>0</v>
      </c>
      <c r="F18" s="392">
        <v>0</v>
      </c>
      <c r="G18" s="392">
        <v>0</v>
      </c>
      <c r="H18" s="392">
        <f t="shared" si="1"/>
        <v>0</v>
      </c>
      <c r="I18" s="407"/>
      <c r="J18" s="409"/>
      <c r="K18" s="407"/>
      <c r="L18" s="399"/>
      <c r="M18" s="399"/>
    </row>
    <row r="19" spans="1:13">
      <c r="A19" s="86" t="s">
        <v>120</v>
      </c>
      <c r="B19" s="87" t="s">
        <v>225</v>
      </c>
      <c r="C19" s="392">
        <v>0</v>
      </c>
      <c r="D19" s="92">
        <v>0</v>
      </c>
      <c r="E19" s="392">
        <v>0</v>
      </c>
      <c r="F19" s="392">
        <v>0</v>
      </c>
      <c r="G19" s="392">
        <v>0</v>
      </c>
      <c r="H19" s="392">
        <f t="shared" si="1"/>
        <v>0</v>
      </c>
      <c r="I19" s="407"/>
      <c r="J19" s="409"/>
      <c r="K19" s="407"/>
      <c r="L19" s="399"/>
      <c r="M19" s="399"/>
    </row>
    <row r="20" spans="1:13">
      <c r="A20" s="89" t="s">
        <v>127</v>
      </c>
      <c r="B20" s="90"/>
      <c r="C20" s="393">
        <f>SUM(C8:C19)</f>
        <v>9896.5000000000018</v>
      </c>
      <c r="D20" s="393">
        <f t="shared" ref="D20:H20" si="2">SUM(D8:D19)</f>
        <v>0</v>
      </c>
      <c r="E20" s="393">
        <f t="shared" si="2"/>
        <v>9889.4</v>
      </c>
      <c r="F20" s="393">
        <f t="shared" si="2"/>
        <v>9768</v>
      </c>
      <c r="G20" s="393">
        <f t="shared" si="2"/>
        <v>10237.1</v>
      </c>
      <c r="H20" s="393">
        <f t="shared" si="2"/>
        <v>-347.70000000000073</v>
      </c>
      <c r="I20" s="407"/>
      <c r="J20" s="409"/>
      <c r="K20" s="408"/>
      <c r="L20" s="399"/>
      <c r="M20" s="399"/>
    </row>
    <row r="21" spans="1:13">
      <c r="A21" s="86" t="s">
        <v>30</v>
      </c>
      <c r="B21" s="87" t="s">
        <v>14</v>
      </c>
      <c r="C21" s="392">
        <v>0</v>
      </c>
      <c r="D21" s="92">
        <v>0</v>
      </c>
      <c r="E21" s="392">
        <v>0</v>
      </c>
      <c r="F21" s="392">
        <v>0</v>
      </c>
      <c r="G21" s="392">
        <v>0</v>
      </c>
      <c r="H21" s="392">
        <f t="shared" ref="H21:H26" si="3">+E21-G21</f>
        <v>0</v>
      </c>
      <c r="I21" s="407"/>
      <c r="J21" s="409"/>
      <c r="K21" s="408"/>
      <c r="L21" s="399"/>
      <c r="M21" s="399"/>
    </row>
    <row r="22" spans="1:13">
      <c r="A22" s="86" t="s">
        <v>121</v>
      </c>
      <c r="B22" s="87" t="s">
        <v>15</v>
      </c>
      <c r="C22" s="392">
        <v>0</v>
      </c>
      <c r="D22" s="92">
        <v>0</v>
      </c>
      <c r="E22" s="392">
        <v>0</v>
      </c>
      <c r="F22" s="392">
        <v>0</v>
      </c>
      <c r="G22" s="392">
        <v>0</v>
      </c>
      <c r="H22" s="392">
        <f t="shared" si="3"/>
        <v>0</v>
      </c>
      <c r="I22" s="407"/>
      <c r="J22" s="409"/>
      <c r="K22" s="408"/>
      <c r="L22" s="399"/>
      <c r="M22" s="399"/>
    </row>
    <row r="23" spans="1:13">
      <c r="A23" s="86" t="s">
        <v>122</v>
      </c>
      <c r="B23" s="87" t="s">
        <v>202</v>
      </c>
      <c r="C23" s="392">
        <v>0</v>
      </c>
      <c r="D23" s="92">
        <v>0</v>
      </c>
      <c r="E23" s="392">
        <v>0</v>
      </c>
      <c r="F23" s="392">
        <v>0</v>
      </c>
      <c r="G23" s="392">
        <v>0</v>
      </c>
      <c r="H23" s="392">
        <f t="shared" si="3"/>
        <v>0</v>
      </c>
      <c r="I23" s="407"/>
      <c r="J23" s="132"/>
      <c r="K23" s="408"/>
      <c r="L23" s="399"/>
      <c r="M23" s="399"/>
    </row>
    <row r="24" spans="1:13">
      <c r="A24" s="86" t="s">
        <v>104</v>
      </c>
      <c r="B24" s="87" t="s">
        <v>17</v>
      </c>
      <c r="C24" s="392">
        <v>2</v>
      </c>
      <c r="D24" s="92">
        <v>0</v>
      </c>
      <c r="E24" s="392">
        <v>2</v>
      </c>
      <c r="F24" s="392">
        <v>2</v>
      </c>
      <c r="G24" s="392">
        <v>2</v>
      </c>
      <c r="H24" s="392">
        <f t="shared" si="3"/>
        <v>0</v>
      </c>
      <c r="I24" s="407"/>
      <c r="J24" s="132"/>
      <c r="K24" s="408"/>
      <c r="L24" s="399"/>
      <c r="M24" s="399"/>
    </row>
    <row r="25" spans="1:13">
      <c r="A25" s="86" t="s">
        <v>105</v>
      </c>
      <c r="B25" s="87" t="s">
        <v>149</v>
      </c>
      <c r="C25" s="392">
        <v>0</v>
      </c>
      <c r="D25" s="92">
        <v>0</v>
      </c>
      <c r="E25" s="392">
        <v>0</v>
      </c>
      <c r="F25" s="392">
        <v>0</v>
      </c>
      <c r="G25" s="392">
        <v>0</v>
      </c>
      <c r="H25" s="392">
        <f t="shared" si="3"/>
        <v>0</v>
      </c>
      <c r="I25" s="407"/>
      <c r="J25" s="132"/>
      <c r="K25" s="408"/>
      <c r="L25" s="399"/>
      <c r="M25" s="399"/>
    </row>
    <row r="26" spans="1:13">
      <c r="A26" s="86" t="s">
        <v>123</v>
      </c>
      <c r="B26" s="87" t="s">
        <v>150</v>
      </c>
      <c r="C26" s="392">
        <v>33.799999999999997</v>
      </c>
      <c r="D26" s="92">
        <v>27</v>
      </c>
      <c r="E26" s="392">
        <v>61.9</v>
      </c>
      <c r="F26" s="392">
        <v>54.2</v>
      </c>
      <c r="G26" s="392">
        <v>54.9</v>
      </c>
      <c r="H26" s="392">
        <f t="shared" si="3"/>
        <v>7</v>
      </c>
      <c r="I26" s="407"/>
      <c r="J26" s="132"/>
      <c r="K26" s="408"/>
      <c r="L26" s="408"/>
      <c r="M26" s="399"/>
    </row>
    <row r="27" spans="1:13">
      <c r="A27" s="89" t="s">
        <v>128</v>
      </c>
      <c r="B27" s="90"/>
      <c r="C27" s="393">
        <f>SUM(C21:C26)</f>
        <v>35.799999999999997</v>
      </c>
      <c r="D27" s="393">
        <f t="shared" ref="D27:H27" si="4">SUM(D21:D26)</f>
        <v>27</v>
      </c>
      <c r="E27" s="393">
        <f t="shared" si="4"/>
        <v>63.9</v>
      </c>
      <c r="F27" s="393">
        <f t="shared" si="4"/>
        <v>56.2</v>
      </c>
      <c r="G27" s="393">
        <f t="shared" si="4"/>
        <v>56.9</v>
      </c>
      <c r="H27" s="393">
        <f t="shared" si="4"/>
        <v>7</v>
      </c>
      <c r="I27" s="407"/>
      <c r="J27" s="132"/>
      <c r="K27" s="408"/>
      <c r="L27" s="408"/>
      <c r="M27" s="399"/>
    </row>
    <row r="28" spans="1:13">
      <c r="A28" s="86" t="s">
        <v>106</v>
      </c>
      <c r="B28" s="87" t="s">
        <v>18</v>
      </c>
      <c r="C28" s="392">
        <v>1006.5</v>
      </c>
      <c r="D28" s="92">
        <v>0</v>
      </c>
      <c r="E28" s="392">
        <v>1013.7</v>
      </c>
      <c r="F28" s="392">
        <v>953</v>
      </c>
      <c r="G28" s="392">
        <v>943.5</v>
      </c>
      <c r="H28" s="392">
        <f t="shared" ref="H28:H30" si="5">+E28-G28</f>
        <v>70.200000000000045</v>
      </c>
      <c r="I28" s="407"/>
      <c r="J28" s="132"/>
      <c r="K28" s="408"/>
      <c r="L28" s="408"/>
      <c r="M28" s="399"/>
    </row>
    <row r="29" spans="1:13">
      <c r="A29" s="86" t="s">
        <v>107</v>
      </c>
      <c r="B29" s="87" t="s">
        <v>124</v>
      </c>
      <c r="C29" s="392">
        <v>84.8</v>
      </c>
      <c r="D29" s="92">
        <v>0</v>
      </c>
      <c r="E29" s="392">
        <v>77.3</v>
      </c>
      <c r="F29" s="392">
        <v>70.099999999999994</v>
      </c>
      <c r="G29" s="392">
        <v>72.5</v>
      </c>
      <c r="H29" s="392">
        <f t="shared" si="5"/>
        <v>4.7999999999999972</v>
      </c>
      <c r="I29" s="407"/>
      <c r="J29" s="132"/>
      <c r="K29" s="408"/>
      <c r="L29" s="408"/>
      <c r="M29" s="399"/>
    </row>
    <row r="30" spans="1:13">
      <c r="A30" s="86" t="s">
        <v>108</v>
      </c>
      <c r="B30" s="87" t="s">
        <v>203</v>
      </c>
      <c r="C30" s="392">
        <v>0</v>
      </c>
      <c r="D30" s="92">
        <v>0</v>
      </c>
      <c r="E30" s="392">
        <v>0</v>
      </c>
      <c r="F30" s="392">
        <v>0</v>
      </c>
      <c r="G30" s="392">
        <v>0</v>
      </c>
      <c r="H30" s="392">
        <f t="shared" si="5"/>
        <v>0</v>
      </c>
      <c r="I30" s="407"/>
      <c r="J30" s="408"/>
      <c r="K30" s="408"/>
      <c r="L30" s="407"/>
    </row>
    <row r="31" spans="1:13">
      <c r="A31" s="554" t="s">
        <v>129</v>
      </c>
      <c r="B31" s="555"/>
      <c r="C31" s="394">
        <f>SUM(C28:C30)</f>
        <v>1091.3</v>
      </c>
      <c r="D31" s="394">
        <f t="shared" ref="D31:H31" si="6">SUM(D28:D30)</f>
        <v>0</v>
      </c>
      <c r="E31" s="394">
        <f t="shared" si="6"/>
        <v>1091</v>
      </c>
      <c r="F31" s="394">
        <f t="shared" si="6"/>
        <v>1023.1</v>
      </c>
      <c r="G31" s="394">
        <f t="shared" si="6"/>
        <v>1016</v>
      </c>
      <c r="H31" s="394">
        <f t="shared" si="6"/>
        <v>75.000000000000043</v>
      </c>
      <c r="I31" s="407"/>
      <c r="J31" s="408"/>
      <c r="K31" s="408"/>
      <c r="L31" s="407"/>
    </row>
    <row r="32" spans="1:13">
      <c r="A32" s="86" t="s">
        <v>109</v>
      </c>
      <c r="B32" s="87" t="s">
        <v>19</v>
      </c>
      <c r="C32" s="392">
        <v>728.7</v>
      </c>
      <c r="D32" s="91">
        <v>0</v>
      </c>
      <c r="E32" s="392">
        <v>726.8</v>
      </c>
      <c r="F32" s="392">
        <v>684.5</v>
      </c>
      <c r="G32" s="392">
        <v>685.2</v>
      </c>
      <c r="H32" s="392">
        <f>+E32-G32</f>
        <v>41.599999999999909</v>
      </c>
      <c r="I32" s="407"/>
      <c r="J32" s="408"/>
      <c r="K32" s="408"/>
      <c r="L32" s="407"/>
    </row>
    <row r="33" spans="1:14" s="410" customFormat="1">
      <c r="A33" s="89" t="s">
        <v>130</v>
      </c>
      <c r="B33" s="95"/>
      <c r="C33" s="393">
        <f>SUM(C32)</f>
        <v>728.7</v>
      </c>
      <c r="D33" s="393">
        <f t="shared" ref="D33:H33" si="7">SUM(D32)</f>
        <v>0</v>
      </c>
      <c r="E33" s="393">
        <f t="shared" si="7"/>
        <v>726.8</v>
      </c>
      <c r="F33" s="393">
        <f t="shared" si="7"/>
        <v>684.5</v>
      </c>
      <c r="G33" s="393">
        <f t="shared" si="7"/>
        <v>685.2</v>
      </c>
      <c r="H33" s="393">
        <f t="shared" si="7"/>
        <v>41.599999999999909</v>
      </c>
      <c r="I33" s="407"/>
      <c r="J33" s="408"/>
      <c r="K33" s="408"/>
      <c r="L33" s="407"/>
    </row>
    <row r="34" spans="1:14">
      <c r="A34" s="93" t="s">
        <v>110</v>
      </c>
      <c r="B34" s="94" t="s">
        <v>20</v>
      </c>
      <c r="C34" s="391">
        <v>260.10000000000002</v>
      </c>
      <c r="D34" s="88">
        <v>0</v>
      </c>
      <c r="E34" s="391">
        <v>274.7</v>
      </c>
      <c r="F34" s="391">
        <v>225.6</v>
      </c>
      <c r="G34" s="391">
        <v>225.1</v>
      </c>
      <c r="H34" s="392">
        <f t="shared" ref="H34:H37" si="8">+E34-G34</f>
        <v>49.599999999999994</v>
      </c>
      <c r="I34" s="407"/>
      <c r="J34" s="408"/>
      <c r="K34" s="408"/>
      <c r="L34" s="407"/>
    </row>
    <row r="35" spans="1:14">
      <c r="A35" s="86" t="s">
        <v>111</v>
      </c>
      <c r="B35" s="87" t="s">
        <v>21</v>
      </c>
      <c r="C35" s="392">
        <v>182</v>
      </c>
      <c r="D35" s="92">
        <v>0</v>
      </c>
      <c r="E35" s="392">
        <v>180.4</v>
      </c>
      <c r="F35" s="392">
        <v>144.30000000000001</v>
      </c>
      <c r="G35" s="392">
        <v>146.69999999999999</v>
      </c>
      <c r="H35" s="392">
        <f t="shared" si="8"/>
        <v>33.700000000000017</v>
      </c>
      <c r="I35" s="407"/>
      <c r="J35" s="407"/>
      <c r="K35" s="407"/>
      <c r="L35" s="407"/>
    </row>
    <row r="36" spans="1:14">
      <c r="A36" s="86" t="s">
        <v>112</v>
      </c>
      <c r="B36" s="87" t="s">
        <v>22</v>
      </c>
      <c r="C36" s="392">
        <v>12.1</v>
      </c>
      <c r="D36" s="92">
        <v>0</v>
      </c>
      <c r="E36" s="392">
        <v>5</v>
      </c>
      <c r="F36" s="392">
        <v>5</v>
      </c>
      <c r="G36" s="392">
        <v>5</v>
      </c>
      <c r="H36" s="392">
        <f t="shared" si="8"/>
        <v>0</v>
      </c>
      <c r="I36" s="407"/>
      <c r="J36" s="407"/>
      <c r="K36" s="407"/>
      <c r="L36" s="407"/>
    </row>
    <row r="37" spans="1:14">
      <c r="A37" s="86" t="s">
        <v>113</v>
      </c>
      <c r="B37" s="87" t="s">
        <v>23</v>
      </c>
      <c r="C37" s="392">
        <v>205</v>
      </c>
      <c r="D37" s="92">
        <v>0</v>
      </c>
      <c r="E37" s="392">
        <v>207.3</v>
      </c>
      <c r="F37" s="392">
        <v>153.69999999999999</v>
      </c>
      <c r="G37" s="392">
        <v>153.80000000000001</v>
      </c>
      <c r="H37" s="392">
        <f t="shared" si="8"/>
        <v>53.5</v>
      </c>
      <c r="I37" s="407"/>
      <c r="J37" s="407"/>
      <c r="K37" s="407"/>
      <c r="L37" s="407"/>
    </row>
    <row r="38" spans="1:14" s="410" customFormat="1">
      <c r="A38" s="89" t="s">
        <v>131</v>
      </c>
      <c r="B38" s="95"/>
      <c r="C38" s="393">
        <f>SUM(C34:C37)</f>
        <v>659.2</v>
      </c>
      <c r="D38" s="393">
        <f t="shared" ref="D38:H38" si="9">SUM(D34:D37)</f>
        <v>0</v>
      </c>
      <c r="E38" s="393">
        <f t="shared" si="9"/>
        <v>667.40000000000009</v>
      </c>
      <c r="F38" s="393">
        <f t="shared" si="9"/>
        <v>528.59999999999991</v>
      </c>
      <c r="G38" s="393">
        <f t="shared" si="9"/>
        <v>530.59999999999991</v>
      </c>
      <c r="H38" s="393">
        <f t="shared" si="9"/>
        <v>136.80000000000001</v>
      </c>
      <c r="I38" s="407"/>
      <c r="J38" s="407"/>
      <c r="K38" s="407"/>
      <c r="L38" s="407"/>
    </row>
    <row r="39" spans="1:14">
      <c r="A39" s="86" t="s">
        <v>199</v>
      </c>
      <c r="B39" s="87" t="s">
        <v>204</v>
      </c>
      <c r="C39" s="392">
        <v>0</v>
      </c>
      <c r="D39" s="92">
        <v>0</v>
      </c>
      <c r="E39" s="392">
        <v>0</v>
      </c>
      <c r="F39" s="392">
        <v>0</v>
      </c>
      <c r="G39" s="392">
        <v>0</v>
      </c>
      <c r="H39" s="392">
        <f>+E39-G39</f>
        <v>0</v>
      </c>
      <c r="I39" s="407"/>
      <c r="J39" s="407"/>
      <c r="K39" s="407"/>
      <c r="L39" s="407"/>
    </row>
    <row r="40" spans="1:14" s="410" customFormat="1">
      <c r="A40" s="89" t="s">
        <v>205</v>
      </c>
      <c r="B40" s="95"/>
      <c r="C40" s="393">
        <f>SUM(C39)</f>
        <v>0</v>
      </c>
      <c r="D40" s="393">
        <f t="shared" ref="D40:H40" si="10">SUM(D39)</f>
        <v>0</v>
      </c>
      <c r="E40" s="393">
        <f t="shared" si="10"/>
        <v>0</v>
      </c>
      <c r="F40" s="393">
        <f t="shared" si="10"/>
        <v>0</v>
      </c>
      <c r="G40" s="393">
        <f t="shared" si="10"/>
        <v>0</v>
      </c>
      <c r="H40" s="393">
        <f t="shared" si="10"/>
        <v>0</v>
      </c>
      <c r="I40" s="407"/>
      <c r="J40" s="407"/>
      <c r="K40" s="407"/>
      <c r="L40" s="407"/>
    </row>
    <row r="41" spans="1:14" s="410" customFormat="1" ht="41.25" customHeight="1">
      <c r="A41" s="96" t="s">
        <v>2</v>
      </c>
      <c r="B41" s="95"/>
      <c r="C41" s="393">
        <f>SUM(C40,C38,C33,C31,C27,C20,C7)</f>
        <v>12855.600000000002</v>
      </c>
      <c r="D41" s="393">
        <f t="shared" ref="D41:H41" si="11">SUM(D40,D38,D33,D31,D27,D20,D7)</f>
        <v>27</v>
      </c>
      <c r="E41" s="393">
        <f t="shared" si="11"/>
        <v>12882.6</v>
      </c>
      <c r="F41" s="393">
        <f t="shared" si="11"/>
        <v>12478.1</v>
      </c>
      <c r="G41" s="393">
        <f t="shared" si="11"/>
        <v>12953.500000000002</v>
      </c>
      <c r="H41" s="393">
        <f t="shared" si="11"/>
        <v>-70.900000000000716</v>
      </c>
      <c r="I41" s="407"/>
      <c r="J41" s="407"/>
      <c r="K41" s="407"/>
      <c r="L41" s="407"/>
    </row>
    <row r="42" spans="1:14">
      <c r="J42" s="407"/>
      <c r="N42" s="411"/>
    </row>
    <row r="43" spans="1:14">
      <c r="A43" s="412" t="s">
        <v>382</v>
      </c>
      <c r="B43" s="406"/>
      <c r="C43" s="406"/>
      <c r="D43" s="406"/>
      <c r="E43" s="406"/>
      <c r="F43" s="406"/>
      <c r="G43" s="406"/>
      <c r="H43" s="413"/>
      <c r="I43" s="413"/>
      <c r="J43" s="413"/>
    </row>
    <row r="44" spans="1:14">
      <c r="A44" s="414" t="s">
        <v>383</v>
      </c>
      <c r="B44" s="406"/>
      <c r="C44" s="415"/>
      <c r="D44" s="406"/>
      <c r="E44" s="406"/>
      <c r="F44" s="406"/>
      <c r="G44" s="406"/>
      <c r="H44" s="413"/>
      <c r="I44" s="413"/>
      <c r="J44" s="413"/>
    </row>
    <row r="45" spans="1:14">
      <c r="A45" s="99" t="s">
        <v>420</v>
      </c>
      <c r="B45" s="99"/>
      <c r="J45" s="407"/>
    </row>
    <row r="46" spans="1:14">
      <c r="A46" s="416" t="s">
        <v>421</v>
      </c>
      <c r="B46" s="406"/>
      <c r="C46" s="406"/>
      <c r="D46" s="406"/>
      <c r="E46" s="406"/>
      <c r="F46" s="406"/>
      <c r="G46" s="406"/>
      <c r="H46" s="413"/>
      <c r="I46" s="413"/>
      <c r="J46" s="413"/>
    </row>
    <row r="47" spans="1:14">
      <c r="A47" s="417" t="s">
        <v>422</v>
      </c>
      <c r="B47" s="99"/>
      <c r="C47" s="418"/>
      <c r="D47" s="418"/>
      <c r="E47" s="418"/>
      <c r="F47" s="418"/>
      <c r="G47" s="418"/>
      <c r="H47" s="413"/>
      <c r="I47" s="413"/>
      <c r="J47" s="413"/>
    </row>
    <row r="48" spans="1:14">
      <c r="A48" s="99"/>
      <c r="B48" s="99"/>
      <c r="C48" s="97"/>
      <c r="D48" s="97"/>
      <c r="E48" s="97"/>
      <c r="F48" s="97"/>
      <c r="G48" s="97"/>
      <c r="J48" s="433"/>
      <c r="K48" s="434"/>
    </row>
    <row r="49" spans="3:11">
      <c r="C49" s="97"/>
      <c r="D49" s="97"/>
      <c r="E49" s="97"/>
      <c r="F49" s="97"/>
      <c r="G49" s="97"/>
      <c r="J49" s="433"/>
      <c r="K49" s="434"/>
    </row>
    <row r="50" spans="3:11">
      <c r="J50" s="433"/>
      <c r="K50" s="434"/>
    </row>
    <row r="51" spans="3:11">
      <c r="J51" s="433"/>
      <c r="K51" s="434"/>
    </row>
    <row r="52" spans="3:11">
      <c r="J52" s="407"/>
      <c r="K52" s="434"/>
    </row>
    <row r="53" spans="3:11">
      <c r="J53" s="407"/>
    </row>
    <row r="54" spans="3:11">
      <c r="J54" s="407"/>
    </row>
    <row r="55" spans="3:11">
      <c r="J55" s="407"/>
    </row>
    <row r="56" spans="3:11">
      <c r="J56" s="407"/>
    </row>
    <row r="57" spans="3:11">
      <c r="J57" s="407"/>
    </row>
    <row r="58" spans="3:11">
      <c r="J58" s="407"/>
    </row>
  </sheetData>
  <mergeCells count="4">
    <mergeCell ref="A1:H1"/>
    <mergeCell ref="A2:H2"/>
    <mergeCell ref="A3:H3"/>
    <mergeCell ref="A31:B31"/>
  </mergeCells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89"/>
  <sheetViews>
    <sheetView zoomScale="80" zoomScaleNormal="80" workbookViewId="0">
      <selection activeCell="H23" sqref="H23"/>
    </sheetView>
  </sheetViews>
  <sheetFormatPr defaultColWidth="9.140625" defaultRowHeight="15.75"/>
  <cols>
    <col min="1" max="1" width="73.85546875" style="1" bestFit="1" customWidth="1"/>
    <col min="2" max="2" width="14.85546875" style="2" bestFit="1" customWidth="1"/>
    <col min="3" max="3" width="22.140625" style="13" bestFit="1" customWidth="1"/>
    <col min="4" max="4" width="17.85546875" style="14" customWidth="1"/>
    <col min="5" max="5" width="16.42578125" style="14" bestFit="1" customWidth="1"/>
    <col min="6" max="6" width="18.7109375" style="14" bestFit="1" customWidth="1"/>
    <col min="7" max="7" width="22.140625" style="14" bestFit="1" customWidth="1"/>
    <col min="8" max="8" width="18.28515625" style="14" hidden="1" customWidth="1"/>
    <col min="9" max="9" width="19.7109375" style="14" bestFit="1" customWidth="1"/>
    <col min="10" max="10" width="17.140625" style="14" bestFit="1" customWidth="1"/>
    <col min="11" max="11" width="19" style="1" bestFit="1" customWidth="1"/>
    <col min="12" max="12" width="19.5703125" style="1" customWidth="1"/>
    <col min="13" max="13" width="22.7109375" style="190" customWidth="1"/>
    <col min="14" max="14" width="15" style="1" customWidth="1"/>
    <col min="15" max="16384" width="9.140625" style="1"/>
  </cols>
  <sheetData>
    <row r="1" spans="1:20" s="4" customFormat="1">
      <c r="A1" s="193" t="s">
        <v>3</v>
      </c>
      <c r="B1" s="193"/>
      <c r="C1" s="193"/>
      <c r="D1" s="193"/>
      <c r="E1" s="193"/>
      <c r="F1" s="193"/>
      <c r="G1" s="193"/>
      <c r="H1" s="193"/>
      <c r="I1" s="193"/>
      <c r="J1" s="193"/>
      <c r="M1" s="189"/>
    </row>
    <row r="2" spans="1:20">
      <c r="A2" s="194" t="s">
        <v>260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20">
      <c r="A3" s="194" t="s">
        <v>419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20">
      <c r="A4" s="195"/>
      <c r="B4" s="196"/>
      <c r="C4" s="197"/>
      <c r="D4" s="198"/>
      <c r="E4" s="198"/>
      <c r="F4" s="198"/>
      <c r="G4" s="198"/>
      <c r="H4" s="198"/>
      <c r="I4" s="198"/>
      <c r="J4" s="198"/>
    </row>
    <row r="5" spans="1:20" s="15" customFormat="1">
      <c r="A5" s="199"/>
      <c r="B5" s="200" t="s">
        <v>249</v>
      </c>
      <c r="C5" s="201"/>
      <c r="D5" s="202" t="s">
        <v>170</v>
      </c>
      <c r="E5" s="202" t="s">
        <v>171</v>
      </c>
      <c r="F5" s="203" t="s">
        <v>288</v>
      </c>
      <c r="G5" s="203" t="s">
        <v>53</v>
      </c>
      <c r="H5" s="204" t="s">
        <v>54</v>
      </c>
      <c r="I5" s="201"/>
      <c r="J5" s="203"/>
      <c r="K5" s="195"/>
      <c r="M5" s="191"/>
    </row>
    <row r="6" spans="1:20" s="15" customFormat="1">
      <c r="A6" s="205" t="s">
        <v>51</v>
      </c>
      <c r="B6" s="206" t="s">
        <v>55</v>
      </c>
      <c r="C6" s="207" t="s">
        <v>31</v>
      </c>
      <c r="D6" s="208" t="s">
        <v>32</v>
      </c>
      <c r="E6" s="208" t="s">
        <v>32</v>
      </c>
      <c r="F6" s="207" t="s">
        <v>172</v>
      </c>
      <c r="G6" s="209" t="s">
        <v>38</v>
      </c>
      <c r="H6" s="210" t="s">
        <v>56</v>
      </c>
      <c r="I6" s="209" t="s">
        <v>34</v>
      </c>
      <c r="J6" s="209" t="s">
        <v>35</v>
      </c>
      <c r="K6" s="195"/>
      <c r="M6" s="191"/>
    </row>
    <row r="7" spans="1:20" s="15" customFormat="1">
      <c r="A7" s="211"/>
      <c r="B7" s="212"/>
      <c r="C7" s="212"/>
      <c r="D7" s="212"/>
      <c r="E7" s="212"/>
      <c r="F7" s="212"/>
      <c r="G7" s="213"/>
      <c r="H7" s="213"/>
      <c r="I7" s="213"/>
      <c r="J7" s="213"/>
      <c r="K7" s="195"/>
      <c r="M7" s="191"/>
    </row>
    <row r="8" spans="1:20" s="15" customFormat="1">
      <c r="A8" s="214" t="s">
        <v>57</v>
      </c>
      <c r="B8" s="215" t="s">
        <v>58</v>
      </c>
      <c r="C8" s="216">
        <v>734307786</v>
      </c>
      <c r="D8" s="216">
        <f>E8+F8</f>
        <v>87157672</v>
      </c>
      <c r="E8" s="216">
        <v>87579140</v>
      </c>
      <c r="F8" s="216">
        <v>-421468</v>
      </c>
      <c r="G8" s="216">
        <v>821465458</v>
      </c>
      <c r="H8" s="216">
        <v>429767697.22998172</v>
      </c>
      <c r="I8" s="216">
        <v>884799954</v>
      </c>
      <c r="J8" s="216">
        <f>G8-I8</f>
        <v>-63334496</v>
      </c>
      <c r="K8" s="217">
        <f>G8-C8-D8</f>
        <v>0</v>
      </c>
      <c r="M8" s="192"/>
    </row>
    <row r="9" spans="1:20" s="15" customFormat="1">
      <c r="A9" s="214" t="s">
        <v>59</v>
      </c>
      <c r="B9" s="215" t="s">
        <v>60</v>
      </c>
      <c r="C9" s="216">
        <v>11480121</v>
      </c>
      <c r="D9" s="216">
        <f t="shared" ref="D9:D11" si="0">E9+F9</f>
        <v>1871523</v>
      </c>
      <c r="E9" s="216">
        <v>1871523</v>
      </c>
      <c r="F9" s="216">
        <v>0</v>
      </c>
      <c r="G9" s="216">
        <v>13351644</v>
      </c>
      <c r="H9" s="216">
        <v>6642960.7299999772</v>
      </c>
      <c r="I9" s="216">
        <v>13282631</v>
      </c>
      <c r="J9" s="216">
        <f>G9-I9</f>
        <v>69013</v>
      </c>
      <c r="K9" s="217">
        <f t="shared" ref="K9:K56" si="1">G9-C9-D9</f>
        <v>0</v>
      </c>
      <c r="M9" s="192"/>
    </row>
    <row r="10" spans="1:20" s="15" customFormat="1">
      <c r="A10" s="214" t="s">
        <v>61</v>
      </c>
      <c r="B10" s="215" t="s">
        <v>62</v>
      </c>
      <c r="C10" s="216">
        <v>8124749</v>
      </c>
      <c r="D10" s="216">
        <f t="shared" si="0"/>
        <v>0</v>
      </c>
      <c r="E10" s="216">
        <v>0</v>
      </c>
      <c r="F10" s="216">
        <v>0</v>
      </c>
      <c r="G10" s="216">
        <v>8124749</v>
      </c>
      <c r="H10" s="216">
        <v>2240172.75</v>
      </c>
      <c r="I10" s="216">
        <v>8124749</v>
      </c>
      <c r="J10" s="216">
        <f>G10-I10</f>
        <v>0</v>
      </c>
      <c r="K10" s="217">
        <f t="shared" si="1"/>
        <v>0</v>
      </c>
      <c r="L10" s="40"/>
      <c r="M10" s="192"/>
      <c r="O10" s="40"/>
      <c r="P10" s="40"/>
      <c r="Q10" s="40"/>
      <c r="R10" s="40"/>
      <c r="S10" s="40"/>
      <c r="T10" s="40"/>
    </row>
    <row r="11" spans="1:20" s="15" customFormat="1">
      <c r="A11" s="214" t="s">
        <v>138</v>
      </c>
      <c r="B11" s="218" t="s">
        <v>146</v>
      </c>
      <c r="C11" s="216">
        <v>172456496</v>
      </c>
      <c r="D11" s="216">
        <f t="shared" si="0"/>
        <v>-2824465</v>
      </c>
      <c r="E11" s="216">
        <v>-3245933</v>
      </c>
      <c r="F11" s="216">
        <v>421468</v>
      </c>
      <c r="G11" s="216">
        <v>169632031</v>
      </c>
      <c r="H11" s="216">
        <v>90693083.780000016</v>
      </c>
      <c r="I11" s="216">
        <v>169632031</v>
      </c>
      <c r="J11" s="216">
        <f>G11-I11</f>
        <v>0</v>
      </c>
      <c r="K11" s="217">
        <f t="shared" si="1"/>
        <v>0</v>
      </c>
      <c r="M11" s="192"/>
    </row>
    <row r="12" spans="1:20" s="15" customFormat="1" ht="11.25" customHeight="1">
      <c r="A12" s="214"/>
      <c r="B12" s="218"/>
      <c r="C12" s="216"/>
      <c r="D12" s="216"/>
      <c r="E12" s="216"/>
      <c r="F12" s="216"/>
      <c r="G12" s="216"/>
      <c r="H12" s="216"/>
      <c r="I12" s="216"/>
      <c r="J12" s="216"/>
      <c r="K12" s="217">
        <f t="shared" si="1"/>
        <v>0</v>
      </c>
      <c r="M12" s="192"/>
    </row>
    <row r="13" spans="1:20" s="15" customFormat="1">
      <c r="A13" s="219" t="s">
        <v>63</v>
      </c>
      <c r="B13" s="220"/>
      <c r="C13" s="221">
        <f t="shared" ref="C13:I13" si="2">SUM(C8:C11)</f>
        <v>926369152</v>
      </c>
      <c r="D13" s="221">
        <f t="shared" si="2"/>
        <v>86204730</v>
      </c>
      <c r="E13" s="221">
        <v>86204730</v>
      </c>
      <c r="F13" s="221">
        <f t="shared" si="2"/>
        <v>0</v>
      </c>
      <c r="G13" s="221">
        <f t="shared" si="2"/>
        <v>1012573882</v>
      </c>
      <c r="H13" s="221">
        <f t="shared" si="2"/>
        <v>529343914.48998171</v>
      </c>
      <c r="I13" s="221">
        <f t="shared" si="2"/>
        <v>1075839365</v>
      </c>
      <c r="J13" s="221">
        <f>SUM(J8:J11)</f>
        <v>-63265483</v>
      </c>
      <c r="K13" s="217">
        <f t="shared" si="1"/>
        <v>0</v>
      </c>
      <c r="M13" s="192"/>
    </row>
    <row r="14" spans="1:20" s="15" customFormat="1" ht="12" customHeight="1">
      <c r="A14" s="222"/>
      <c r="B14" s="223"/>
      <c r="C14" s="224"/>
      <c r="D14" s="224"/>
      <c r="E14" s="224"/>
      <c r="F14" s="224"/>
      <c r="G14" s="224"/>
      <c r="H14" s="224"/>
      <c r="I14" s="224"/>
      <c r="J14" s="224"/>
      <c r="K14" s="217">
        <f t="shared" si="1"/>
        <v>0</v>
      </c>
      <c r="M14" s="192"/>
    </row>
    <row r="15" spans="1:20" s="15" customFormat="1">
      <c r="A15" s="225" t="s">
        <v>64</v>
      </c>
      <c r="B15" s="226" t="s">
        <v>65</v>
      </c>
      <c r="C15" s="216">
        <v>5685701</v>
      </c>
      <c r="D15" s="216">
        <f t="shared" ref="D15" si="3">E15+F15</f>
        <v>0</v>
      </c>
      <c r="E15" s="216">
        <v>0</v>
      </c>
      <c r="F15" s="216">
        <v>0</v>
      </c>
      <c r="G15" s="216">
        <v>5685701</v>
      </c>
      <c r="H15" s="216">
        <v>5685701</v>
      </c>
      <c r="I15" s="216">
        <v>5685701</v>
      </c>
      <c r="J15" s="216">
        <f>G15-I15</f>
        <v>0</v>
      </c>
      <c r="K15" s="217">
        <f t="shared" si="1"/>
        <v>0</v>
      </c>
      <c r="M15" s="192"/>
    </row>
    <row r="16" spans="1:20" s="15" customFormat="1" ht="12.75" customHeight="1">
      <c r="A16" s="225"/>
      <c r="B16" s="226"/>
      <c r="C16" s="216"/>
      <c r="D16" s="216"/>
      <c r="E16" s="216"/>
      <c r="F16" s="216"/>
      <c r="G16" s="216"/>
      <c r="H16" s="216"/>
      <c r="I16" s="216"/>
      <c r="J16" s="216"/>
      <c r="K16" s="217">
        <f t="shared" si="1"/>
        <v>0</v>
      </c>
      <c r="M16" s="192"/>
    </row>
    <row r="17" spans="1:13" s="15" customFormat="1">
      <c r="A17" s="219" t="s">
        <v>66</v>
      </c>
      <c r="B17" s="220"/>
      <c r="C17" s="221">
        <f t="shared" ref="C17:J17" si="4">SUM(C15:C15)</f>
        <v>5685701</v>
      </c>
      <c r="D17" s="221">
        <f t="shared" si="4"/>
        <v>0</v>
      </c>
      <c r="E17" s="221">
        <v>0</v>
      </c>
      <c r="F17" s="221">
        <f t="shared" si="4"/>
        <v>0</v>
      </c>
      <c r="G17" s="221">
        <f t="shared" ref="G17" si="5">SUM(G15:G15)</f>
        <v>5685701</v>
      </c>
      <c r="H17" s="221">
        <f t="shared" si="4"/>
        <v>5685701</v>
      </c>
      <c r="I17" s="221">
        <f t="shared" si="4"/>
        <v>5685701</v>
      </c>
      <c r="J17" s="221">
        <f t="shared" si="4"/>
        <v>0</v>
      </c>
      <c r="K17" s="217">
        <f t="shared" si="1"/>
        <v>0</v>
      </c>
      <c r="M17" s="192"/>
    </row>
    <row r="18" spans="1:13" s="19" customFormat="1">
      <c r="A18" s="222"/>
      <c r="B18" s="223"/>
      <c r="C18" s="224"/>
      <c r="D18" s="224"/>
      <c r="E18" s="224"/>
      <c r="F18" s="224"/>
      <c r="G18" s="224"/>
      <c r="H18" s="224"/>
      <c r="I18" s="224"/>
      <c r="J18" s="224"/>
      <c r="K18" s="217">
        <f t="shared" si="1"/>
        <v>0</v>
      </c>
      <c r="M18" s="192"/>
    </row>
    <row r="19" spans="1:13" s="15" customFormat="1">
      <c r="A19" s="219" t="s">
        <v>39</v>
      </c>
      <c r="B19" s="227"/>
      <c r="C19" s="221">
        <f>SUM(C17,C13)</f>
        <v>932054853</v>
      </c>
      <c r="D19" s="221">
        <f>SUM(D17,D13)</f>
        <v>86204730</v>
      </c>
      <c r="E19" s="221">
        <v>86204730</v>
      </c>
      <c r="F19" s="221">
        <f>SUM(F17,F13)</f>
        <v>0</v>
      </c>
      <c r="G19" s="221">
        <f t="shared" ref="G19" si="6">SUM(G17,G13)</f>
        <v>1018259583</v>
      </c>
      <c r="H19" s="221">
        <f>SUM(H17,H13)</f>
        <v>535029615.48998171</v>
      </c>
      <c r="I19" s="221">
        <f>SUM(I17,I13)</f>
        <v>1081525066</v>
      </c>
      <c r="J19" s="221">
        <f>SUM(J17,J13)</f>
        <v>-63265483</v>
      </c>
      <c r="K19" s="217">
        <f t="shared" si="1"/>
        <v>0</v>
      </c>
      <c r="M19" s="192"/>
    </row>
    <row r="20" spans="1:13" s="15" customFormat="1">
      <c r="A20" s="222"/>
      <c r="B20" s="228"/>
      <c r="C20" s="224"/>
      <c r="D20" s="224"/>
      <c r="E20" s="224"/>
      <c r="F20" s="224"/>
      <c r="G20" s="224"/>
      <c r="H20" s="224"/>
      <c r="I20" s="224"/>
      <c r="J20" s="224"/>
      <c r="K20" s="217">
        <f t="shared" si="1"/>
        <v>0</v>
      </c>
      <c r="M20" s="192"/>
    </row>
    <row r="21" spans="1:13" s="15" customFormat="1">
      <c r="A21" s="229" t="s">
        <v>67</v>
      </c>
      <c r="B21" s="230" t="s">
        <v>140</v>
      </c>
      <c r="C21" s="216">
        <v>29778704</v>
      </c>
      <c r="D21" s="216">
        <f t="shared" ref="D21:D47" si="7">E21+F21</f>
        <v>-9606</v>
      </c>
      <c r="E21" s="216">
        <v>-9606</v>
      </c>
      <c r="F21" s="216">
        <v>0</v>
      </c>
      <c r="G21" s="216">
        <v>29769098</v>
      </c>
      <c r="H21" s="216">
        <v>14425084.77999993</v>
      </c>
      <c r="I21" s="216">
        <v>29769098</v>
      </c>
      <c r="J21" s="216">
        <f t="shared" ref="J21:J47" si="8">G21-I21</f>
        <v>0</v>
      </c>
      <c r="K21" s="217">
        <f t="shared" si="1"/>
        <v>0</v>
      </c>
      <c r="M21" s="192"/>
    </row>
    <row r="22" spans="1:13" s="15" customFormat="1">
      <c r="A22" s="229" t="s">
        <v>141</v>
      </c>
      <c r="B22" s="231" t="s">
        <v>139</v>
      </c>
      <c r="C22" s="216">
        <v>2797802</v>
      </c>
      <c r="D22" s="216">
        <f t="shared" si="7"/>
        <v>-1303593</v>
      </c>
      <c r="E22" s="216">
        <v>-1303593</v>
      </c>
      <c r="F22" s="216">
        <v>0</v>
      </c>
      <c r="G22" s="216">
        <v>1494209</v>
      </c>
      <c r="H22" s="216">
        <v>14759.1</v>
      </c>
      <c r="I22" s="216">
        <v>1494209</v>
      </c>
      <c r="J22" s="216">
        <f t="shared" si="8"/>
        <v>0</v>
      </c>
      <c r="K22" s="217">
        <f t="shared" si="1"/>
        <v>0</v>
      </c>
      <c r="M22" s="192"/>
    </row>
    <row r="23" spans="1:13" s="15" customFormat="1">
      <c r="A23" s="232" t="s">
        <v>68</v>
      </c>
      <c r="B23" s="233" t="s">
        <v>69</v>
      </c>
      <c r="C23" s="216">
        <v>303818749</v>
      </c>
      <c r="D23" s="216">
        <f t="shared" si="7"/>
        <v>75651484</v>
      </c>
      <c r="E23" s="216">
        <v>75651484</v>
      </c>
      <c r="F23" s="216">
        <v>0</v>
      </c>
      <c r="G23" s="216">
        <v>379470233</v>
      </c>
      <c r="H23" s="216">
        <v>143377149.31999999</v>
      </c>
      <c r="I23" s="216">
        <v>376370645</v>
      </c>
      <c r="J23" s="216">
        <f>G23-I23</f>
        <v>3099588</v>
      </c>
      <c r="K23" s="217">
        <f t="shared" si="1"/>
        <v>0</v>
      </c>
      <c r="M23" s="192"/>
    </row>
    <row r="24" spans="1:13" s="15" customFormat="1">
      <c r="A24" s="232" t="s">
        <v>70</v>
      </c>
      <c r="B24" s="233" t="s">
        <v>71</v>
      </c>
      <c r="C24" s="216">
        <v>6564254</v>
      </c>
      <c r="D24" s="216">
        <f t="shared" si="7"/>
        <v>-4113328</v>
      </c>
      <c r="E24" s="216">
        <v>-5210083</v>
      </c>
      <c r="F24" s="216">
        <v>1096755</v>
      </c>
      <c r="G24" s="216">
        <v>2450926</v>
      </c>
      <c r="H24" s="216">
        <v>1719997.74</v>
      </c>
      <c r="I24" s="216">
        <v>2450926</v>
      </c>
      <c r="J24" s="216">
        <f t="shared" si="8"/>
        <v>0</v>
      </c>
      <c r="K24" s="217">
        <f t="shared" si="1"/>
        <v>0</v>
      </c>
      <c r="M24" s="192"/>
    </row>
    <row r="25" spans="1:13" s="15" customFormat="1">
      <c r="A25" s="232" t="s">
        <v>72</v>
      </c>
      <c r="B25" s="233" t="s">
        <v>73</v>
      </c>
      <c r="C25" s="216">
        <v>31158166</v>
      </c>
      <c r="D25" s="216">
        <f t="shared" si="7"/>
        <v>0</v>
      </c>
      <c r="E25" s="216">
        <v>0</v>
      </c>
      <c r="F25" s="216">
        <v>0</v>
      </c>
      <c r="G25" s="216">
        <v>31158166</v>
      </c>
      <c r="H25" s="216">
        <v>18583575.31000001</v>
      </c>
      <c r="I25" s="216">
        <v>31158166</v>
      </c>
      <c r="J25" s="216">
        <f t="shared" si="8"/>
        <v>0</v>
      </c>
      <c r="K25" s="217">
        <f t="shared" si="1"/>
        <v>0</v>
      </c>
      <c r="M25" s="192"/>
    </row>
    <row r="26" spans="1:13" s="15" customFormat="1">
      <c r="A26" s="234" t="s">
        <v>74</v>
      </c>
      <c r="B26" s="233" t="s">
        <v>75</v>
      </c>
      <c r="C26" s="216">
        <v>3207461</v>
      </c>
      <c r="D26" s="216">
        <f t="shared" si="7"/>
        <v>1088701</v>
      </c>
      <c r="E26" s="216">
        <v>1088701</v>
      </c>
      <c r="F26" s="216">
        <v>0</v>
      </c>
      <c r="G26" s="216">
        <v>4296162</v>
      </c>
      <c r="H26" s="216">
        <v>1742166.4800000058</v>
      </c>
      <c r="I26" s="216">
        <v>4296162</v>
      </c>
      <c r="J26" s="216">
        <f t="shared" si="8"/>
        <v>0</v>
      </c>
      <c r="K26" s="217">
        <f t="shared" si="1"/>
        <v>0</v>
      </c>
      <c r="M26" s="192"/>
    </row>
    <row r="27" spans="1:13" s="15" customFormat="1">
      <c r="A27" s="234" t="s">
        <v>76</v>
      </c>
      <c r="B27" s="233" t="s">
        <v>77</v>
      </c>
      <c r="C27" s="216">
        <v>5840638</v>
      </c>
      <c r="D27" s="216">
        <f t="shared" si="7"/>
        <v>-1758476</v>
      </c>
      <c r="E27" s="216">
        <v>-1788908</v>
      </c>
      <c r="F27" s="216">
        <v>30432</v>
      </c>
      <c r="G27" s="216">
        <v>4082162</v>
      </c>
      <c r="H27" s="216">
        <v>1157086.76</v>
      </c>
      <c r="I27" s="216">
        <v>2330929</v>
      </c>
      <c r="J27" s="216">
        <f t="shared" si="8"/>
        <v>1751233</v>
      </c>
      <c r="K27" s="217">
        <f t="shared" si="1"/>
        <v>0</v>
      </c>
      <c r="M27" s="192"/>
    </row>
    <row r="28" spans="1:13" s="15" customFormat="1">
      <c r="A28" s="234" t="s">
        <v>78</v>
      </c>
      <c r="B28" s="235" t="s">
        <v>79</v>
      </c>
      <c r="C28" s="216">
        <v>8294000</v>
      </c>
      <c r="D28" s="216">
        <f t="shared" si="7"/>
        <v>1858665</v>
      </c>
      <c r="E28" s="216">
        <v>1858665</v>
      </c>
      <c r="F28" s="216">
        <v>0</v>
      </c>
      <c r="G28" s="216">
        <v>10152665</v>
      </c>
      <c r="H28" s="216">
        <v>0</v>
      </c>
      <c r="I28" s="216">
        <v>10152665</v>
      </c>
      <c r="J28" s="216">
        <f t="shared" si="8"/>
        <v>0</v>
      </c>
      <c r="K28" s="217">
        <f t="shared" si="1"/>
        <v>0</v>
      </c>
      <c r="M28" s="192"/>
    </row>
    <row r="29" spans="1:13" s="15" customFormat="1">
      <c r="A29" s="234" t="s">
        <v>144</v>
      </c>
      <c r="B29" s="235" t="s">
        <v>151</v>
      </c>
      <c r="C29" s="216">
        <v>0</v>
      </c>
      <c r="D29" s="216">
        <f t="shared" si="7"/>
        <v>20000</v>
      </c>
      <c r="E29" s="216">
        <v>20000</v>
      </c>
      <c r="F29" s="216">
        <v>0</v>
      </c>
      <c r="G29" s="216">
        <v>20000</v>
      </c>
      <c r="H29" s="216">
        <v>33978.5</v>
      </c>
      <c r="I29" s="216">
        <v>20000</v>
      </c>
      <c r="J29" s="216">
        <f t="shared" si="8"/>
        <v>0</v>
      </c>
      <c r="K29" s="217">
        <f t="shared" si="1"/>
        <v>0</v>
      </c>
      <c r="M29" s="192"/>
    </row>
    <row r="30" spans="1:13" s="15" customFormat="1">
      <c r="A30" s="234" t="s">
        <v>80</v>
      </c>
      <c r="B30" s="235" t="s">
        <v>81</v>
      </c>
      <c r="C30" s="216">
        <v>24505492</v>
      </c>
      <c r="D30" s="216">
        <f t="shared" si="7"/>
        <v>3032841</v>
      </c>
      <c r="E30" s="216">
        <v>3032841</v>
      </c>
      <c r="F30" s="216">
        <v>0</v>
      </c>
      <c r="G30" s="216">
        <v>27538333</v>
      </c>
      <c r="H30" s="216">
        <v>12654151.999999994</v>
      </c>
      <c r="I30" s="216">
        <v>27538333</v>
      </c>
      <c r="J30" s="216">
        <f t="shared" si="8"/>
        <v>0</v>
      </c>
      <c r="K30" s="217">
        <f t="shared" si="1"/>
        <v>0</v>
      </c>
      <c r="M30" s="192"/>
    </row>
    <row r="31" spans="1:13" s="15" customFormat="1">
      <c r="A31" s="234" t="s">
        <v>136</v>
      </c>
      <c r="B31" s="233" t="s">
        <v>134</v>
      </c>
      <c r="C31" s="216">
        <v>538707</v>
      </c>
      <c r="D31" s="216">
        <f t="shared" si="7"/>
        <v>555468</v>
      </c>
      <c r="E31" s="216">
        <v>554868</v>
      </c>
      <c r="F31" s="216">
        <v>600</v>
      </c>
      <c r="G31" s="216">
        <v>1094175</v>
      </c>
      <c r="H31" s="216">
        <v>414664.48000000144</v>
      </c>
      <c r="I31" s="216">
        <v>1094175</v>
      </c>
      <c r="J31" s="216">
        <f t="shared" si="8"/>
        <v>0</v>
      </c>
      <c r="K31" s="217">
        <f t="shared" si="1"/>
        <v>0</v>
      </c>
      <c r="M31" s="192"/>
    </row>
    <row r="32" spans="1:13" s="15" customFormat="1">
      <c r="A32" s="234" t="s">
        <v>137</v>
      </c>
      <c r="B32" s="233" t="s">
        <v>135</v>
      </c>
      <c r="C32" s="216">
        <v>7017336</v>
      </c>
      <c r="D32" s="216">
        <f t="shared" si="7"/>
        <v>-689324</v>
      </c>
      <c r="E32" s="216">
        <v>-596489</v>
      </c>
      <c r="F32" s="216">
        <v>-92835</v>
      </c>
      <c r="G32" s="216">
        <v>6328012</v>
      </c>
      <c r="H32" s="216">
        <v>3581202.54</v>
      </c>
      <c r="I32" s="216">
        <v>6328012</v>
      </c>
      <c r="J32" s="216">
        <f t="shared" si="8"/>
        <v>0</v>
      </c>
      <c r="K32" s="217">
        <f t="shared" si="1"/>
        <v>0</v>
      </c>
      <c r="M32" s="192"/>
    </row>
    <row r="33" spans="1:14" s="15" customFormat="1">
      <c r="A33" s="234" t="s">
        <v>143</v>
      </c>
      <c r="B33" s="233" t="s">
        <v>142</v>
      </c>
      <c r="C33" s="216">
        <v>358258</v>
      </c>
      <c r="D33" s="216">
        <f t="shared" si="7"/>
        <v>0</v>
      </c>
      <c r="E33" s="216">
        <v>0</v>
      </c>
      <c r="F33" s="216">
        <v>0</v>
      </c>
      <c r="G33" s="216">
        <v>358258</v>
      </c>
      <c r="H33" s="216">
        <v>0</v>
      </c>
      <c r="I33" s="216">
        <v>358258</v>
      </c>
      <c r="J33" s="216">
        <f t="shared" si="8"/>
        <v>0</v>
      </c>
      <c r="K33" s="217">
        <f t="shared" si="1"/>
        <v>0</v>
      </c>
      <c r="M33" s="192"/>
    </row>
    <row r="34" spans="1:14" s="15" customFormat="1">
      <c r="A34" s="229" t="s">
        <v>82</v>
      </c>
      <c r="B34" s="233" t="s">
        <v>83</v>
      </c>
      <c r="C34" s="216">
        <v>78833546</v>
      </c>
      <c r="D34" s="216">
        <f t="shared" si="7"/>
        <v>9527903</v>
      </c>
      <c r="E34" s="216">
        <v>9599031</v>
      </c>
      <c r="F34" s="216">
        <v>-71128</v>
      </c>
      <c r="G34" s="216">
        <v>88361449</v>
      </c>
      <c r="H34" s="216">
        <v>41734250.900000066</v>
      </c>
      <c r="I34" s="216">
        <v>88361449</v>
      </c>
      <c r="J34" s="216">
        <f t="shared" si="8"/>
        <v>0</v>
      </c>
      <c r="K34" s="217">
        <f t="shared" si="1"/>
        <v>0</v>
      </c>
      <c r="M34" s="192"/>
    </row>
    <row r="35" spans="1:14" s="15" customFormat="1">
      <c r="A35" s="229" t="s">
        <v>84</v>
      </c>
      <c r="B35" s="230" t="s">
        <v>85</v>
      </c>
      <c r="C35" s="216">
        <v>102857176</v>
      </c>
      <c r="D35" s="216">
        <f t="shared" si="7"/>
        <v>-9268739</v>
      </c>
      <c r="E35" s="216">
        <v>-9867929</v>
      </c>
      <c r="F35" s="216">
        <v>599190</v>
      </c>
      <c r="G35" s="216">
        <v>93588437</v>
      </c>
      <c r="H35" s="216">
        <v>44911062.609999992</v>
      </c>
      <c r="I35" s="216">
        <v>93588437</v>
      </c>
      <c r="J35" s="216">
        <f t="shared" si="8"/>
        <v>0</v>
      </c>
      <c r="K35" s="217">
        <f t="shared" si="1"/>
        <v>0</v>
      </c>
      <c r="M35" s="192"/>
    </row>
    <row r="36" spans="1:14" s="15" customFormat="1">
      <c r="A36" s="229" t="s">
        <v>154</v>
      </c>
      <c r="B36" s="230" t="s">
        <v>155</v>
      </c>
      <c r="C36" s="216">
        <v>11792089</v>
      </c>
      <c r="D36" s="216">
        <f t="shared" si="7"/>
        <v>2496254</v>
      </c>
      <c r="E36" s="216">
        <v>2496254</v>
      </c>
      <c r="F36" s="216">
        <v>0</v>
      </c>
      <c r="G36" s="216">
        <v>14288343</v>
      </c>
      <c r="H36" s="216">
        <v>3174643.2499999986</v>
      </c>
      <c r="I36" s="216">
        <v>14288343</v>
      </c>
      <c r="J36" s="216">
        <f t="shared" si="8"/>
        <v>0</v>
      </c>
      <c r="K36" s="217">
        <f t="shared" si="1"/>
        <v>0</v>
      </c>
      <c r="M36" s="192"/>
    </row>
    <row r="37" spans="1:14" s="15" customFormat="1">
      <c r="A37" s="229" t="s">
        <v>86</v>
      </c>
      <c r="B37" s="231" t="s">
        <v>87</v>
      </c>
      <c r="C37" s="216">
        <v>9997482</v>
      </c>
      <c r="D37" s="216">
        <f t="shared" si="7"/>
        <v>3191174</v>
      </c>
      <c r="E37" s="216">
        <v>3223951</v>
      </c>
      <c r="F37" s="216">
        <v>-32777</v>
      </c>
      <c r="G37" s="216">
        <v>13188656</v>
      </c>
      <c r="H37" s="216">
        <v>6104629.0899999579</v>
      </c>
      <c r="I37" s="216">
        <v>13188656</v>
      </c>
      <c r="J37" s="216">
        <f t="shared" si="8"/>
        <v>0</v>
      </c>
      <c r="K37" s="217">
        <f t="shared" si="1"/>
        <v>0</v>
      </c>
      <c r="M37" s="192"/>
    </row>
    <row r="38" spans="1:14" s="15" customFormat="1">
      <c r="A38" s="229" t="s">
        <v>88</v>
      </c>
      <c r="B38" s="231" t="s">
        <v>89</v>
      </c>
      <c r="C38" s="216">
        <v>119472475</v>
      </c>
      <c r="D38" s="216">
        <f t="shared" si="7"/>
        <v>-1476122</v>
      </c>
      <c r="E38" s="216">
        <v>-1509928</v>
      </c>
      <c r="F38" s="216">
        <v>33806</v>
      </c>
      <c r="G38" s="216">
        <v>117996353</v>
      </c>
      <c r="H38" s="216">
        <v>68170135.139999986</v>
      </c>
      <c r="I38" s="216">
        <v>117996353</v>
      </c>
      <c r="J38" s="216">
        <f t="shared" si="8"/>
        <v>0</v>
      </c>
      <c r="K38" s="217">
        <f t="shared" si="1"/>
        <v>0</v>
      </c>
      <c r="M38" s="192"/>
    </row>
    <row r="39" spans="1:14" s="15" customFormat="1">
      <c r="A39" s="229" t="s">
        <v>156</v>
      </c>
      <c r="B39" s="230" t="s">
        <v>157</v>
      </c>
      <c r="C39" s="216">
        <v>35286</v>
      </c>
      <c r="D39" s="216">
        <f t="shared" si="7"/>
        <v>667</v>
      </c>
      <c r="E39" s="216">
        <v>667</v>
      </c>
      <c r="F39" s="216">
        <v>0</v>
      </c>
      <c r="G39" s="216">
        <v>35953</v>
      </c>
      <c r="H39" s="216">
        <v>14676.36</v>
      </c>
      <c r="I39" s="216">
        <v>35953</v>
      </c>
      <c r="J39" s="216">
        <f t="shared" si="8"/>
        <v>0</v>
      </c>
      <c r="K39" s="217">
        <f t="shared" si="1"/>
        <v>0</v>
      </c>
      <c r="M39" s="192"/>
    </row>
    <row r="40" spans="1:14" s="15" customFormat="1">
      <c r="A40" s="229" t="s">
        <v>90</v>
      </c>
      <c r="B40" s="231" t="s">
        <v>91</v>
      </c>
      <c r="C40" s="216">
        <v>32201755</v>
      </c>
      <c r="D40" s="216">
        <f t="shared" si="7"/>
        <v>0</v>
      </c>
      <c r="E40" s="216">
        <v>0</v>
      </c>
      <c r="F40" s="216">
        <v>0</v>
      </c>
      <c r="G40" s="216">
        <v>32201755</v>
      </c>
      <c r="H40" s="216">
        <v>15296186.339999942</v>
      </c>
      <c r="I40" s="216">
        <v>32201755</v>
      </c>
      <c r="J40" s="216">
        <f t="shared" si="8"/>
        <v>0</v>
      </c>
      <c r="K40" s="217">
        <f t="shared" si="1"/>
        <v>0</v>
      </c>
      <c r="M40" s="192"/>
    </row>
    <row r="41" spans="1:14" s="15" customFormat="1">
      <c r="A41" s="229" t="s">
        <v>92</v>
      </c>
      <c r="B41" s="236" t="s">
        <v>93</v>
      </c>
      <c r="C41" s="216">
        <v>2037781</v>
      </c>
      <c r="D41" s="216">
        <f t="shared" si="7"/>
        <v>-224692</v>
      </c>
      <c r="E41" s="216">
        <v>-152301</v>
      </c>
      <c r="F41" s="216">
        <v>-72391</v>
      </c>
      <c r="G41" s="216">
        <v>1813089</v>
      </c>
      <c r="H41" s="216">
        <v>732399.37</v>
      </c>
      <c r="I41" s="216">
        <v>1813089</v>
      </c>
      <c r="J41" s="216">
        <f t="shared" si="8"/>
        <v>0</v>
      </c>
      <c r="K41" s="217">
        <f t="shared" si="1"/>
        <v>0</v>
      </c>
      <c r="M41" s="192"/>
    </row>
    <row r="42" spans="1:14" s="15" customFormat="1">
      <c r="A42" s="229" t="s">
        <v>94</v>
      </c>
      <c r="B42" s="230" t="s">
        <v>95</v>
      </c>
      <c r="C42" s="216">
        <v>6036551</v>
      </c>
      <c r="D42" s="216">
        <f t="shared" si="7"/>
        <v>3499492</v>
      </c>
      <c r="E42" s="216">
        <v>3499492</v>
      </c>
      <c r="F42" s="216">
        <v>0</v>
      </c>
      <c r="G42" s="216">
        <v>9536043</v>
      </c>
      <c r="H42" s="216">
        <v>3151240.1199999931</v>
      </c>
      <c r="I42" s="216">
        <v>9455596</v>
      </c>
      <c r="J42" s="216">
        <f t="shared" si="8"/>
        <v>80447</v>
      </c>
      <c r="K42" s="217">
        <f t="shared" si="1"/>
        <v>0</v>
      </c>
      <c r="M42" s="192"/>
    </row>
    <row r="43" spans="1:14" s="15" customFormat="1">
      <c r="A43" s="229" t="s">
        <v>163</v>
      </c>
      <c r="B43" s="230" t="s">
        <v>164</v>
      </c>
      <c r="C43" s="216">
        <v>0</v>
      </c>
      <c r="D43" s="216">
        <f t="shared" si="7"/>
        <v>0</v>
      </c>
      <c r="E43" s="216">
        <v>0</v>
      </c>
      <c r="F43" s="216">
        <v>0</v>
      </c>
      <c r="G43" s="216">
        <v>0</v>
      </c>
      <c r="H43" s="216">
        <v>0</v>
      </c>
      <c r="I43" s="216">
        <v>0</v>
      </c>
      <c r="J43" s="216">
        <f t="shared" si="8"/>
        <v>0</v>
      </c>
      <c r="K43" s="217">
        <f t="shared" si="1"/>
        <v>0</v>
      </c>
      <c r="M43" s="192"/>
    </row>
    <row r="44" spans="1:14" s="15" customFormat="1">
      <c r="A44" s="229" t="s">
        <v>165</v>
      </c>
      <c r="B44" s="230" t="s">
        <v>166</v>
      </c>
      <c r="C44" s="216">
        <v>0</v>
      </c>
      <c r="D44" s="216">
        <f t="shared" si="7"/>
        <v>0</v>
      </c>
      <c r="E44" s="216">
        <v>0</v>
      </c>
      <c r="F44" s="216">
        <v>0</v>
      </c>
      <c r="G44" s="216">
        <v>0</v>
      </c>
      <c r="H44" s="216">
        <v>0</v>
      </c>
      <c r="I44" s="216">
        <v>0</v>
      </c>
      <c r="J44" s="216">
        <f t="shared" si="8"/>
        <v>0</v>
      </c>
      <c r="K44" s="217">
        <f t="shared" si="1"/>
        <v>0</v>
      </c>
      <c r="M44" s="192"/>
    </row>
    <row r="45" spans="1:14" s="15" customFormat="1">
      <c r="A45" s="229" t="s">
        <v>133</v>
      </c>
      <c r="B45" s="235" t="s">
        <v>147</v>
      </c>
      <c r="C45" s="216">
        <v>11604895</v>
      </c>
      <c r="D45" s="216">
        <f t="shared" si="7"/>
        <v>2516840</v>
      </c>
      <c r="E45" s="216">
        <v>2516840</v>
      </c>
      <c r="F45" s="216">
        <v>0</v>
      </c>
      <c r="G45" s="216">
        <v>14121735</v>
      </c>
      <c r="H45" s="216">
        <v>6685952.2799999826</v>
      </c>
      <c r="I45" s="216">
        <v>14121735</v>
      </c>
      <c r="J45" s="216">
        <f t="shared" si="8"/>
        <v>0</v>
      </c>
      <c r="K45" s="217">
        <f t="shared" si="1"/>
        <v>0</v>
      </c>
      <c r="M45" s="192"/>
      <c r="N45" s="16"/>
    </row>
    <row r="46" spans="1:14" s="15" customFormat="1">
      <c r="A46" s="229" t="s">
        <v>228</v>
      </c>
      <c r="B46" s="235" t="s">
        <v>226</v>
      </c>
      <c r="C46" s="216">
        <v>0</v>
      </c>
      <c r="D46" s="216">
        <f t="shared" si="7"/>
        <v>18709832</v>
      </c>
      <c r="E46" s="216">
        <v>18709832</v>
      </c>
      <c r="F46" s="216">
        <v>0</v>
      </c>
      <c r="G46" s="216">
        <v>18709832</v>
      </c>
      <c r="H46" s="216">
        <v>2984715.6</v>
      </c>
      <c r="I46" s="216">
        <v>18655103</v>
      </c>
      <c r="J46" s="216">
        <f t="shared" si="8"/>
        <v>54729</v>
      </c>
      <c r="K46" s="217">
        <f t="shared" si="1"/>
        <v>0</v>
      </c>
      <c r="M46" s="192"/>
      <c r="N46" s="16"/>
    </row>
    <row r="47" spans="1:14" s="15" customFormat="1">
      <c r="A47" s="229" t="s">
        <v>229</v>
      </c>
      <c r="B47" s="235" t="s">
        <v>227</v>
      </c>
      <c r="C47" s="216">
        <v>0</v>
      </c>
      <c r="D47" s="216">
        <f t="shared" si="7"/>
        <v>0</v>
      </c>
      <c r="E47" s="216">
        <v>0</v>
      </c>
      <c r="F47" s="216">
        <v>0</v>
      </c>
      <c r="G47" s="216">
        <v>0</v>
      </c>
      <c r="H47" s="216">
        <v>2392133.3000000021</v>
      </c>
      <c r="I47" s="216">
        <v>0</v>
      </c>
      <c r="J47" s="216">
        <f t="shared" si="8"/>
        <v>0</v>
      </c>
      <c r="K47" s="217">
        <f t="shared" si="1"/>
        <v>0</v>
      </c>
      <c r="M47" s="192"/>
      <c r="N47" s="16"/>
    </row>
    <row r="48" spans="1:14" s="15" customFormat="1">
      <c r="A48" s="219" t="s">
        <v>96</v>
      </c>
      <c r="B48" s="227"/>
      <c r="C48" s="237">
        <f t="shared" ref="C48:I48" si="9">SUM(C21:C47)</f>
        <v>798748603</v>
      </c>
      <c r="D48" s="221">
        <f t="shared" si="9"/>
        <v>103305441</v>
      </c>
      <c r="E48" s="221">
        <v>101813789</v>
      </c>
      <c r="F48" s="221">
        <f t="shared" si="9"/>
        <v>1491652</v>
      </c>
      <c r="G48" s="221">
        <f t="shared" si="9"/>
        <v>902054044</v>
      </c>
      <c r="H48" s="221">
        <f t="shared" si="9"/>
        <v>393055841.36999989</v>
      </c>
      <c r="I48" s="221">
        <f t="shared" si="9"/>
        <v>897068047</v>
      </c>
      <c r="J48" s="221">
        <f>SUM(J21:J47)</f>
        <v>4985997</v>
      </c>
      <c r="K48" s="217">
        <f t="shared" si="1"/>
        <v>0</v>
      </c>
      <c r="M48" s="192"/>
      <c r="N48" s="16"/>
    </row>
    <row r="49" spans="1:14" s="15" customFormat="1">
      <c r="A49" s="222"/>
      <c r="B49" s="228"/>
      <c r="C49" s="224"/>
      <c r="D49" s="224"/>
      <c r="E49" s="224"/>
      <c r="F49" s="224"/>
      <c r="G49" s="224"/>
      <c r="H49" s="224"/>
      <c r="I49" s="224"/>
      <c r="J49" s="224"/>
      <c r="K49" s="217">
        <f t="shared" si="1"/>
        <v>0</v>
      </c>
      <c r="M49" s="192"/>
      <c r="N49" s="16"/>
    </row>
    <row r="50" spans="1:14" s="15" customFormat="1">
      <c r="A50" s="238" t="s">
        <v>97</v>
      </c>
      <c r="B50" s="230" t="s">
        <v>98</v>
      </c>
      <c r="C50" s="216">
        <v>6956153</v>
      </c>
      <c r="D50" s="216">
        <f t="shared" ref="D50:D53" si="10">E50+F50</f>
        <v>335104</v>
      </c>
      <c r="E50" s="216">
        <v>335104</v>
      </c>
      <c r="F50" s="216">
        <v>0</v>
      </c>
      <c r="G50" s="216">
        <v>7291257</v>
      </c>
      <c r="H50" s="216">
        <v>4220059.2500000009</v>
      </c>
      <c r="I50" s="216">
        <v>7326375</v>
      </c>
      <c r="J50" s="216">
        <f>G50-I50</f>
        <v>-35118</v>
      </c>
      <c r="K50" s="217">
        <f t="shared" si="1"/>
        <v>0</v>
      </c>
      <c r="M50" s="192"/>
      <c r="N50" s="16"/>
    </row>
    <row r="51" spans="1:14" s="15" customFormat="1">
      <c r="A51" s="238" t="s">
        <v>99</v>
      </c>
      <c r="B51" s="230" t="s">
        <v>100</v>
      </c>
      <c r="C51" s="216">
        <v>1798542</v>
      </c>
      <c r="D51" s="216">
        <f t="shared" si="10"/>
        <v>-1569530</v>
      </c>
      <c r="E51" s="216">
        <v>-1569530</v>
      </c>
      <c r="F51" s="216">
        <v>0</v>
      </c>
      <c r="G51" s="216">
        <v>229012</v>
      </c>
      <c r="H51" s="216">
        <v>89198.179999999964</v>
      </c>
      <c r="I51" s="216">
        <v>224234</v>
      </c>
      <c r="J51" s="216">
        <f>G51-I51</f>
        <v>4778</v>
      </c>
      <c r="K51" s="217">
        <f t="shared" si="1"/>
        <v>0</v>
      </c>
      <c r="M51" s="192"/>
      <c r="N51" s="16"/>
    </row>
    <row r="52" spans="1:14" s="15" customFormat="1">
      <c r="A52" s="238" t="s">
        <v>101</v>
      </c>
      <c r="B52" s="231" t="s">
        <v>102</v>
      </c>
      <c r="C52" s="216">
        <v>982500</v>
      </c>
      <c r="D52" s="216">
        <f t="shared" si="10"/>
        <v>0</v>
      </c>
      <c r="E52" s="216">
        <v>0</v>
      </c>
      <c r="F52" s="216">
        <v>0</v>
      </c>
      <c r="G52" s="216">
        <v>982500</v>
      </c>
      <c r="H52" s="216">
        <v>0</v>
      </c>
      <c r="I52" s="216">
        <v>982500</v>
      </c>
      <c r="J52" s="216">
        <f>G52-I52</f>
        <v>0</v>
      </c>
      <c r="K52" s="217">
        <f t="shared" si="1"/>
        <v>0</v>
      </c>
      <c r="M52" s="192"/>
      <c r="N52" s="16"/>
    </row>
    <row r="53" spans="1:14" s="15" customFormat="1">
      <c r="A53" s="238" t="s">
        <v>184</v>
      </c>
      <c r="B53" s="230" t="s">
        <v>183</v>
      </c>
      <c r="C53" s="216">
        <v>8792</v>
      </c>
      <c r="D53" s="216">
        <f t="shared" si="10"/>
        <v>0</v>
      </c>
      <c r="E53" s="216">
        <v>0</v>
      </c>
      <c r="F53" s="216">
        <v>0</v>
      </c>
      <c r="G53" s="216">
        <v>8792</v>
      </c>
      <c r="H53" s="216">
        <v>1757.34</v>
      </c>
      <c r="I53" s="216">
        <v>8792</v>
      </c>
      <c r="J53" s="216">
        <f>G53-I53</f>
        <v>0</v>
      </c>
      <c r="K53" s="217">
        <f t="shared" si="1"/>
        <v>0</v>
      </c>
      <c r="M53" s="192"/>
      <c r="N53" s="16"/>
    </row>
    <row r="54" spans="1:14" s="15" customFormat="1">
      <c r="A54" s="219" t="s">
        <v>250</v>
      </c>
      <c r="B54" s="239"/>
      <c r="C54" s="221">
        <f t="shared" ref="C54:J54" si="11">SUM(C50:C53)</f>
        <v>9745987</v>
      </c>
      <c r="D54" s="221">
        <f t="shared" si="11"/>
        <v>-1234426</v>
      </c>
      <c r="E54" s="221">
        <v>-1234426</v>
      </c>
      <c r="F54" s="221">
        <f t="shared" si="11"/>
        <v>0</v>
      </c>
      <c r="G54" s="221">
        <f t="shared" ref="G54" si="12">SUM(G50:G53)</f>
        <v>8511561</v>
      </c>
      <c r="H54" s="221">
        <f t="shared" si="11"/>
        <v>4311014.7700000005</v>
      </c>
      <c r="I54" s="221">
        <f t="shared" si="11"/>
        <v>8541901</v>
      </c>
      <c r="J54" s="221">
        <f t="shared" si="11"/>
        <v>-30340</v>
      </c>
      <c r="K54" s="217">
        <f t="shared" si="1"/>
        <v>0</v>
      </c>
      <c r="M54" s="192"/>
      <c r="N54" s="16"/>
    </row>
    <row r="55" spans="1:14" s="15" customFormat="1">
      <c r="A55" s="240"/>
      <c r="B55" s="241"/>
      <c r="C55" s="224"/>
      <c r="D55" s="224"/>
      <c r="E55" s="224"/>
      <c r="F55" s="224"/>
      <c r="G55" s="224"/>
      <c r="H55" s="224"/>
      <c r="I55" s="224"/>
      <c r="J55" s="224"/>
      <c r="K55" s="217">
        <f t="shared" si="1"/>
        <v>0</v>
      </c>
      <c r="M55" s="192"/>
      <c r="N55" s="16"/>
    </row>
    <row r="56" spans="1:14" s="15" customFormat="1" ht="16.5" thickBot="1">
      <c r="A56" s="242" t="s">
        <v>103</v>
      </c>
      <c r="B56" s="243"/>
      <c r="C56" s="244">
        <f>SUM(C54,C48,C19)</f>
        <v>1740549443</v>
      </c>
      <c r="D56" s="245">
        <f>SUM(D54,D48,D19)</f>
        <v>188275745</v>
      </c>
      <c r="E56" s="245">
        <v>186784093</v>
      </c>
      <c r="F56" s="245">
        <f>SUM(F54,F48,F19)</f>
        <v>1491652</v>
      </c>
      <c r="G56" s="245">
        <f>SUM(G54,G48,G19)</f>
        <v>1928825188</v>
      </c>
      <c r="H56" s="245">
        <f>SUM(H54,H48,H19)</f>
        <v>932396471.62998152</v>
      </c>
      <c r="I56" s="245">
        <f>SUM(I54,I48,I19)</f>
        <v>1987135014</v>
      </c>
      <c r="J56" s="245">
        <f>SUM(J54,J48,J19)</f>
        <v>-58309826</v>
      </c>
      <c r="K56" s="217">
        <f t="shared" si="1"/>
        <v>0</v>
      </c>
      <c r="M56" s="192"/>
      <c r="N56" s="16"/>
    </row>
    <row r="57" spans="1:14" s="15" customFormat="1" ht="15" thickTop="1">
      <c r="B57" s="41"/>
      <c r="C57" s="42"/>
      <c r="D57" s="17"/>
      <c r="E57" s="17"/>
      <c r="F57" s="17"/>
      <c r="G57" s="17"/>
      <c r="H57" s="17"/>
      <c r="I57" s="17"/>
      <c r="J57" s="17"/>
      <c r="M57" s="191"/>
    </row>
    <row r="58" spans="1:14" s="15" customFormat="1" ht="15">
      <c r="B58" s="43"/>
      <c r="C58" s="42"/>
      <c r="D58" s="17"/>
      <c r="E58" s="17"/>
      <c r="F58" s="17"/>
      <c r="G58" s="17"/>
      <c r="H58" s="17"/>
      <c r="I58" s="17"/>
      <c r="J58" s="17"/>
      <c r="M58" s="191"/>
    </row>
    <row r="59" spans="1:14" s="15" customFormat="1" ht="15">
      <c r="B59" s="43"/>
      <c r="C59" s="42"/>
      <c r="D59" s="17"/>
      <c r="E59" s="17"/>
      <c r="F59" s="17"/>
      <c r="G59" s="17"/>
      <c r="H59" s="17"/>
      <c r="I59" s="17"/>
      <c r="J59" s="17"/>
      <c r="M59" s="191"/>
    </row>
    <row r="60" spans="1:14" s="15" customFormat="1" ht="15">
      <c r="B60" s="43"/>
      <c r="C60" s="42"/>
      <c r="D60" s="17"/>
      <c r="E60" s="17"/>
      <c r="F60" s="17"/>
      <c r="G60" s="17"/>
      <c r="H60" s="17"/>
      <c r="I60" s="17"/>
      <c r="J60" s="17"/>
      <c r="M60" s="191"/>
    </row>
    <row r="61" spans="1:14" s="15" customFormat="1" ht="15">
      <c r="B61" s="43"/>
      <c r="C61" s="42"/>
      <c r="D61" s="17"/>
      <c r="E61" s="17"/>
      <c r="F61" s="17"/>
      <c r="G61" s="17"/>
      <c r="H61" s="17"/>
      <c r="I61" s="17"/>
      <c r="J61" s="17"/>
      <c r="M61" s="191"/>
    </row>
    <row r="62" spans="1:14" s="15" customFormat="1" ht="15">
      <c r="B62" s="43"/>
      <c r="C62" s="42"/>
      <c r="D62" s="17"/>
      <c r="E62" s="17"/>
      <c r="F62" s="17"/>
      <c r="G62" s="17"/>
      <c r="H62" s="17"/>
      <c r="I62" s="17"/>
      <c r="J62" s="17"/>
      <c r="M62" s="191"/>
    </row>
    <row r="63" spans="1:14" s="15" customFormat="1" ht="15">
      <c r="B63" s="43"/>
      <c r="C63" s="42"/>
      <c r="D63" s="17"/>
      <c r="E63" s="17"/>
      <c r="F63" s="17"/>
      <c r="G63" s="17"/>
      <c r="H63" s="17"/>
      <c r="I63" s="17"/>
      <c r="J63" s="17"/>
      <c r="M63" s="191"/>
    </row>
    <row r="64" spans="1:14" s="15" customFormat="1" ht="15">
      <c r="B64" s="43"/>
      <c r="C64" s="42"/>
      <c r="D64" s="17"/>
      <c r="E64" s="17"/>
      <c r="F64" s="17"/>
      <c r="G64" s="17"/>
      <c r="H64" s="17"/>
      <c r="I64" s="17"/>
      <c r="J64" s="17"/>
      <c r="M64" s="191"/>
    </row>
    <row r="65" spans="2:13" s="15" customFormat="1" ht="15">
      <c r="B65" s="43"/>
      <c r="C65" s="42"/>
      <c r="D65" s="17"/>
      <c r="E65" s="17"/>
      <c r="F65" s="17"/>
      <c r="G65" s="17"/>
      <c r="H65" s="17"/>
      <c r="I65" s="17"/>
      <c r="J65" s="17"/>
      <c r="M65" s="191"/>
    </row>
    <row r="66" spans="2:13" s="15" customFormat="1" ht="15">
      <c r="B66" s="43"/>
      <c r="C66" s="42"/>
      <c r="D66" s="17"/>
      <c r="E66" s="17"/>
      <c r="F66" s="17"/>
      <c r="G66" s="17"/>
      <c r="H66" s="17"/>
      <c r="I66" s="17"/>
      <c r="J66" s="17"/>
      <c r="M66" s="191"/>
    </row>
    <row r="67" spans="2:13" s="15" customFormat="1" ht="15">
      <c r="B67" s="43"/>
      <c r="C67" s="42"/>
      <c r="D67" s="17"/>
      <c r="E67" s="17"/>
      <c r="F67" s="17"/>
      <c r="G67" s="17"/>
      <c r="H67" s="17"/>
      <c r="I67" s="17"/>
      <c r="J67" s="17"/>
      <c r="M67" s="191"/>
    </row>
    <row r="68" spans="2:13" s="15" customFormat="1" ht="15">
      <c r="B68" s="43"/>
      <c r="C68" s="42"/>
      <c r="D68" s="17"/>
      <c r="E68" s="17"/>
      <c r="F68" s="17"/>
      <c r="G68" s="17"/>
      <c r="H68" s="17"/>
      <c r="I68" s="17"/>
      <c r="J68" s="17"/>
      <c r="M68" s="191"/>
    </row>
    <row r="69" spans="2:13" s="15" customFormat="1" ht="15">
      <c r="B69" s="43"/>
      <c r="C69" s="42"/>
      <c r="D69" s="17"/>
      <c r="E69" s="17"/>
      <c r="F69" s="17"/>
      <c r="G69" s="17"/>
      <c r="H69" s="17"/>
      <c r="I69" s="17"/>
      <c r="J69" s="17"/>
      <c r="M69" s="191"/>
    </row>
    <row r="70" spans="2:13" s="15" customFormat="1" ht="15">
      <c r="B70" s="43"/>
      <c r="C70" s="42"/>
      <c r="D70" s="17"/>
      <c r="E70" s="17"/>
      <c r="F70" s="17"/>
      <c r="G70" s="17"/>
      <c r="H70" s="17"/>
      <c r="I70" s="17"/>
      <c r="J70" s="17"/>
      <c r="M70" s="191"/>
    </row>
    <row r="71" spans="2:13" s="15" customFormat="1" ht="15">
      <c r="B71" s="43"/>
      <c r="C71" s="42"/>
      <c r="D71" s="17"/>
      <c r="E71" s="17"/>
      <c r="F71" s="17"/>
      <c r="G71" s="17"/>
      <c r="H71" s="17"/>
      <c r="I71" s="17"/>
      <c r="J71" s="17"/>
      <c r="M71" s="191"/>
    </row>
    <row r="72" spans="2:13" s="15" customFormat="1" ht="15">
      <c r="B72" s="43"/>
      <c r="C72" s="42"/>
      <c r="D72" s="17"/>
      <c r="E72" s="17"/>
      <c r="F72" s="17"/>
      <c r="G72" s="17"/>
      <c r="H72" s="17"/>
      <c r="I72" s="17"/>
      <c r="J72" s="17"/>
      <c r="M72" s="191"/>
    </row>
    <row r="73" spans="2:13" s="15" customFormat="1" ht="15">
      <c r="B73" s="43"/>
      <c r="C73" s="42"/>
      <c r="D73" s="17"/>
      <c r="E73" s="17"/>
      <c r="F73" s="17"/>
      <c r="G73" s="17"/>
      <c r="H73" s="17"/>
      <c r="I73" s="17"/>
      <c r="J73" s="17"/>
      <c r="M73" s="191"/>
    </row>
    <row r="74" spans="2:13" s="15" customFormat="1" ht="15">
      <c r="B74" s="43"/>
      <c r="C74" s="42"/>
      <c r="D74" s="17"/>
      <c r="E74" s="17"/>
      <c r="F74" s="17"/>
      <c r="G74" s="17"/>
      <c r="H74" s="17"/>
      <c r="I74" s="17"/>
      <c r="J74" s="17"/>
      <c r="M74" s="191"/>
    </row>
    <row r="75" spans="2:13" s="15" customFormat="1" ht="15">
      <c r="B75" s="43"/>
      <c r="C75" s="42"/>
      <c r="D75" s="17"/>
      <c r="E75" s="17"/>
      <c r="F75" s="17"/>
      <c r="G75" s="17"/>
      <c r="H75" s="17"/>
      <c r="I75" s="17"/>
      <c r="J75" s="17"/>
      <c r="M75" s="191"/>
    </row>
    <row r="76" spans="2:13" s="15" customFormat="1" ht="15">
      <c r="B76" s="43"/>
      <c r="C76" s="42"/>
      <c r="D76" s="17"/>
      <c r="E76" s="17"/>
      <c r="F76" s="17"/>
      <c r="G76" s="17"/>
      <c r="H76" s="17"/>
      <c r="I76" s="17"/>
      <c r="J76" s="17"/>
      <c r="M76" s="191"/>
    </row>
    <row r="77" spans="2:13" s="15" customFormat="1" ht="15">
      <c r="B77" s="43"/>
      <c r="C77" s="42"/>
      <c r="D77" s="17"/>
      <c r="E77" s="17"/>
      <c r="F77" s="17"/>
      <c r="G77" s="17"/>
      <c r="H77" s="17"/>
      <c r="I77" s="17"/>
      <c r="J77" s="17"/>
      <c r="M77" s="191"/>
    </row>
    <row r="78" spans="2:13" s="15" customFormat="1" ht="15">
      <c r="B78" s="43"/>
      <c r="C78" s="42"/>
      <c r="D78" s="17"/>
      <c r="E78" s="17"/>
      <c r="F78" s="17"/>
      <c r="G78" s="17"/>
      <c r="H78" s="17"/>
      <c r="I78" s="17"/>
      <c r="J78" s="17"/>
      <c r="M78" s="191"/>
    </row>
    <row r="79" spans="2:13" s="15" customFormat="1" ht="15">
      <c r="B79" s="43"/>
      <c r="C79" s="42"/>
      <c r="D79" s="17"/>
      <c r="E79" s="17"/>
      <c r="F79" s="17"/>
      <c r="G79" s="17"/>
      <c r="H79" s="17"/>
      <c r="I79" s="17"/>
      <c r="J79" s="17"/>
      <c r="M79" s="191"/>
    </row>
    <row r="80" spans="2:13" s="15" customFormat="1" ht="15">
      <c r="B80" s="43"/>
      <c r="C80" s="42"/>
      <c r="D80" s="17"/>
      <c r="E80" s="17"/>
      <c r="F80" s="17"/>
      <c r="G80" s="17"/>
      <c r="H80" s="17"/>
      <c r="I80" s="17"/>
      <c r="J80" s="17"/>
      <c r="M80" s="191"/>
    </row>
    <row r="81" spans="2:13" s="15" customFormat="1" ht="15">
      <c r="B81" s="43"/>
      <c r="C81" s="42"/>
      <c r="D81" s="17"/>
      <c r="E81" s="17"/>
      <c r="F81" s="17"/>
      <c r="G81" s="17"/>
      <c r="H81" s="17"/>
      <c r="I81" s="17"/>
      <c r="J81" s="17"/>
      <c r="M81" s="191"/>
    </row>
    <row r="82" spans="2:13" s="15" customFormat="1" ht="15">
      <c r="B82" s="43"/>
      <c r="C82" s="42"/>
      <c r="D82" s="17"/>
      <c r="E82" s="17"/>
      <c r="F82" s="17"/>
      <c r="G82" s="17"/>
      <c r="H82" s="17"/>
      <c r="I82" s="17"/>
      <c r="J82" s="17"/>
      <c r="M82" s="191"/>
    </row>
    <row r="83" spans="2:13" s="15" customFormat="1" ht="15">
      <c r="B83" s="43"/>
      <c r="C83" s="42"/>
      <c r="D83" s="17"/>
      <c r="E83" s="17"/>
      <c r="F83" s="17"/>
      <c r="G83" s="17"/>
      <c r="H83" s="17"/>
      <c r="I83" s="17"/>
      <c r="J83" s="17"/>
      <c r="M83" s="191"/>
    </row>
    <row r="84" spans="2:13" s="15" customFormat="1" ht="15">
      <c r="B84" s="43"/>
      <c r="C84" s="42"/>
      <c r="D84" s="17"/>
      <c r="E84" s="17"/>
      <c r="F84" s="17"/>
      <c r="G84" s="17"/>
      <c r="H84" s="17"/>
      <c r="I84" s="17"/>
      <c r="J84" s="17"/>
      <c r="M84" s="191"/>
    </row>
    <row r="85" spans="2:13" s="15" customFormat="1" ht="15">
      <c r="B85" s="43"/>
      <c r="C85" s="42"/>
      <c r="D85" s="17"/>
      <c r="E85" s="17"/>
      <c r="F85" s="17"/>
      <c r="G85" s="17"/>
      <c r="H85" s="17"/>
      <c r="I85" s="17"/>
      <c r="J85" s="17"/>
      <c r="M85" s="191"/>
    </row>
    <row r="86" spans="2:13" s="15" customFormat="1" ht="15">
      <c r="B86" s="43"/>
      <c r="C86" s="42"/>
      <c r="D86" s="17"/>
      <c r="E86" s="17"/>
      <c r="F86" s="17"/>
      <c r="G86" s="17"/>
      <c r="H86" s="17"/>
      <c r="I86" s="17"/>
      <c r="J86" s="17"/>
      <c r="M86" s="191"/>
    </row>
    <row r="87" spans="2:13" s="15" customFormat="1" ht="15">
      <c r="B87" s="43"/>
      <c r="C87" s="42"/>
      <c r="D87" s="17"/>
      <c r="E87" s="17"/>
      <c r="F87" s="17"/>
      <c r="G87" s="17"/>
      <c r="H87" s="17"/>
      <c r="I87" s="17"/>
      <c r="J87" s="17"/>
      <c r="M87" s="191"/>
    </row>
    <row r="88" spans="2:13" s="15" customFormat="1" ht="15">
      <c r="B88" s="43"/>
      <c r="C88" s="42"/>
      <c r="D88" s="17"/>
      <c r="E88" s="17"/>
      <c r="F88" s="17"/>
      <c r="G88" s="17"/>
      <c r="H88" s="17"/>
      <c r="I88" s="17"/>
      <c r="J88" s="17"/>
      <c r="M88" s="191"/>
    </row>
    <row r="89" spans="2:13" s="15" customFormat="1" ht="15">
      <c r="B89" s="43"/>
      <c r="C89" s="42"/>
      <c r="D89" s="17"/>
      <c r="E89" s="17"/>
      <c r="F89" s="17"/>
      <c r="G89" s="17"/>
      <c r="H89" s="17"/>
      <c r="I89" s="17"/>
      <c r="J89" s="17"/>
      <c r="M89" s="191"/>
    </row>
  </sheetData>
  <phoneticPr fontId="19" type="noConversion"/>
  <printOptions horizontalCentered="1"/>
  <pageMargins left="0.19" right="0.17" top="0.5" bottom="0.61" header="0.5" footer="0.39"/>
  <pageSetup scale="58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90"/>
  <sheetViews>
    <sheetView topLeftCell="A28" zoomScale="80" zoomScaleNormal="80" workbookViewId="0">
      <selection activeCell="H23" sqref="H23"/>
    </sheetView>
  </sheetViews>
  <sheetFormatPr defaultColWidth="9.140625" defaultRowHeight="12.75"/>
  <cols>
    <col min="1" max="1" width="11.28515625" style="5" customWidth="1"/>
    <col min="2" max="2" width="52.7109375" style="5" bestFit="1" customWidth="1"/>
    <col min="3" max="3" width="18.140625" style="6" bestFit="1" customWidth="1"/>
    <col min="4" max="4" width="13.7109375" style="6" bestFit="1" customWidth="1"/>
    <col min="5" max="5" width="16.42578125" style="6" bestFit="1" customWidth="1"/>
    <col min="6" max="6" width="15.140625" style="6" bestFit="1" customWidth="1"/>
    <col min="7" max="7" width="16.42578125" style="6" bestFit="1" customWidth="1"/>
    <col min="8" max="11" width="15.140625" style="6" bestFit="1" customWidth="1"/>
    <col min="12" max="12" width="16.42578125" style="6" bestFit="1" customWidth="1"/>
    <col min="13" max="13" width="13.85546875" style="6" customWidth="1"/>
    <col min="14" max="14" width="18.140625" style="6" bestFit="1" customWidth="1"/>
    <col min="15" max="15" width="11.28515625" style="5" bestFit="1" customWidth="1"/>
    <col min="16" max="16384" width="9.140625" style="5"/>
  </cols>
  <sheetData>
    <row r="1" spans="1:16" s="4" customFormat="1" ht="15.75">
      <c r="A1" s="246" t="s">
        <v>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6" s="1" customFormat="1" ht="15.75">
      <c r="A2" s="247" t="s">
        <v>261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6" s="1" customFormat="1" ht="15.75">
      <c r="A3" s="194" t="s">
        <v>419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6" ht="15.7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6" s="15" customFormat="1" ht="15.75">
      <c r="A5" s="558"/>
      <c r="B5" s="559"/>
      <c r="C5" s="249"/>
      <c r="D5" s="249"/>
      <c r="E5" s="560" t="s">
        <v>6</v>
      </c>
      <c r="F5" s="561"/>
      <c r="G5" s="561"/>
      <c r="H5" s="561"/>
      <c r="I5" s="561"/>
      <c r="J5" s="561"/>
      <c r="K5" s="561"/>
      <c r="L5" s="561"/>
      <c r="M5" s="250"/>
      <c r="N5" s="251"/>
    </row>
    <row r="6" spans="1:16" s="15" customFormat="1" ht="31.5">
      <c r="A6" s="252"/>
      <c r="B6" s="253"/>
      <c r="C6" s="254" t="s">
        <v>4</v>
      </c>
      <c r="D6" s="254" t="s">
        <v>5</v>
      </c>
      <c r="E6" s="255" t="s">
        <v>367</v>
      </c>
      <c r="F6" s="255" t="s">
        <v>368</v>
      </c>
      <c r="G6" s="256" t="s">
        <v>246</v>
      </c>
      <c r="H6" s="255" t="s">
        <v>369</v>
      </c>
      <c r="I6" s="255" t="s">
        <v>370</v>
      </c>
      <c r="J6" s="255" t="s">
        <v>247</v>
      </c>
      <c r="K6" s="256" t="s">
        <v>248</v>
      </c>
      <c r="L6" s="257" t="s">
        <v>160</v>
      </c>
      <c r="M6" s="258" t="s">
        <v>161</v>
      </c>
      <c r="N6" s="259" t="s">
        <v>162</v>
      </c>
    </row>
    <row r="7" spans="1:16" s="15" customFormat="1" ht="9" customHeight="1">
      <c r="A7" s="260"/>
      <c r="B7" s="260"/>
      <c r="C7" s="261"/>
      <c r="D7" s="261"/>
      <c r="E7" s="262"/>
      <c r="F7" s="262"/>
      <c r="G7" s="263"/>
      <c r="H7" s="262"/>
      <c r="I7" s="262"/>
      <c r="J7" s="262"/>
      <c r="K7" s="263"/>
      <c r="L7" s="263"/>
      <c r="M7" s="263"/>
      <c r="N7" s="263"/>
    </row>
    <row r="8" spans="1:16" s="71" customFormat="1" ht="18" customHeight="1">
      <c r="A8" s="164" t="s">
        <v>24</v>
      </c>
      <c r="B8" s="164" t="s">
        <v>7</v>
      </c>
      <c r="C8" s="264">
        <v>9339854</v>
      </c>
      <c r="D8" s="264">
        <v>0</v>
      </c>
      <c r="E8" s="264">
        <v>10591451</v>
      </c>
      <c r="F8" s="264">
        <v>51546</v>
      </c>
      <c r="G8" s="264">
        <v>31660</v>
      </c>
      <c r="H8" s="264">
        <v>2273531</v>
      </c>
      <c r="I8" s="264">
        <v>166162</v>
      </c>
      <c r="J8" s="264">
        <v>0</v>
      </c>
      <c r="K8" s="264">
        <v>0</v>
      </c>
      <c r="L8" s="264">
        <f>SUM(E8:K8)</f>
        <v>13114350</v>
      </c>
      <c r="M8" s="264">
        <v>0</v>
      </c>
      <c r="N8" s="264">
        <f>SUM(C8,D8,L8,M8)</f>
        <v>22454204</v>
      </c>
      <c r="P8" s="537"/>
    </row>
    <row r="9" spans="1:16" s="71" customFormat="1" ht="18" customHeight="1">
      <c r="A9" s="556" t="s">
        <v>358</v>
      </c>
      <c r="B9" s="557"/>
      <c r="C9" s="265">
        <f>C8</f>
        <v>9339854</v>
      </c>
      <c r="D9" s="265">
        <f t="shared" ref="D9:N9" si="0">D8</f>
        <v>0</v>
      </c>
      <c r="E9" s="265">
        <f t="shared" si="0"/>
        <v>10591451</v>
      </c>
      <c r="F9" s="265">
        <f t="shared" si="0"/>
        <v>51546</v>
      </c>
      <c r="G9" s="265">
        <f t="shared" si="0"/>
        <v>31660</v>
      </c>
      <c r="H9" s="265">
        <f t="shared" si="0"/>
        <v>2273531</v>
      </c>
      <c r="I9" s="265">
        <f>I8</f>
        <v>166162</v>
      </c>
      <c r="J9" s="265">
        <f t="shared" si="0"/>
        <v>0</v>
      </c>
      <c r="K9" s="265">
        <f t="shared" si="0"/>
        <v>0</v>
      </c>
      <c r="L9" s="265">
        <f t="shared" si="0"/>
        <v>13114350</v>
      </c>
      <c r="M9" s="265">
        <f t="shared" si="0"/>
        <v>0</v>
      </c>
      <c r="N9" s="265">
        <f t="shared" si="0"/>
        <v>22454204</v>
      </c>
    </row>
    <row r="10" spans="1:16" s="71" customFormat="1" ht="18" customHeight="1">
      <c r="A10" s="164" t="s">
        <v>25</v>
      </c>
      <c r="B10" s="164" t="s">
        <v>8</v>
      </c>
      <c r="C10" s="264">
        <v>405826379</v>
      </c>
      <c r="D10" s="264">
        <v>0</v>
      </c>
      <c r="E10" s="264">
        <v>165839852</v>
      </c>
      <c r="F10" s="264">
        <v>0</v>
      </c>
      <c r="G10" s="264">
        <v>71188081</v>
      </c>
      <c r="H10" s="264">
        <v>0</v>
      </c>
      <c r="I10" s="264">
        <v>7053996</v>
      </c>
      <c r="J10" s="264">
        <v>0</v>
      </c>
      <c r="K10" s="264">
        <v>36559556</v>
      </c>
      <c r="L10" s="264">
        <f t="shared" ref="L10:L21" si="1">SUM(E10:K10)</f>
        <v>280641485</v>
      </c>
      <c r="M10" s="264">
        <v>6707468</v>
      </c>
      <c r="N10" s="264">
        <f t="shared" ref="N10:N21" si="2">SUM(C10,D10,L10,M10)</f>
        <v>693175332</v>
      </c>
      <c r="P10" s="537"/>
    </row>
    <row r="11" spans="1:16" s="71" customFormat="1" ht="18" customHeight="1">
      <c r="A11" s="164" t="s">
        <v>26</v>
      </c>
      <c r="B11" s="164" t="s">
        <v>9</v>
      </c>
      <c r="C11" s="264">
        <v>18229548</v>
      </c>
      <c r="D11" s="264">
        <v>0</v>
      </c>
      <c r="E11" s="264">
        <v>13952608</v>
      </c>
      <c r="F11" s="264">
        <v>0</v>
      </c>
      <c r="G11" s="264">
        <v>9249312</v>
      </c>
      <c r="H11" s="264">
        <v>453114</v>
      </c>
      <c r="I11" s="264">
        <v>265770</v>
      </c>
      <c r="J11" s="264">
        <v>0</v>
      </c>
      <c r="K11" s="264">
        <v>7047775</v>
      </c>
      <c r="L11" s="264">
        <f t="shared" si="1"/>
        <v>30968579</v>
      </c>
      <c r="M11" s="264">
        <v>103387</v>
      </c>
      <c r="N11" s="264">
        <f t="shared" si="2"/>
        <v>49301514</v>
      </c>
      <c r="P11" s="537"/>
    </row>
    <row r="12" spans="1:16" s="71" customFormat="1" ht="18" customHeight="1">
      <c r="A12" s="164" t="s">
        <v>27</v>
      </c>
      <c r="B12" s="164" t="s">
        <v>189</v>
      </c>
      <c r="C12" s="264">
        <v>56249453</v>
      </c>
      <c r="D12" s="264">
        <v>0</v>
      </c>
      <c r="E12" s="264">
        <v>0</v>
      </c>
      <c r="F12" s="264">
        <v>10379528</v>
      </c>
      <c r="G12" s="264">
        <v>5073066</v>
      </c>
      <c r="H12" s="264">
        <v>0</v>
      </c>
      <c r="I12" s="264">
        <v>0</v>
      </c>
      <c r="J12" s="264">
        <v>0</v>
      </c>
      <c r="K12" s="264">
        <v>0</v>
      </c>
      <c r="L12" s="264">
        <f t="shared" si="1"/>
        <v>15452594</v>
      </c>
      <c r="M12" s="264">
        <v>0</v>
      </c>
      <c r="N12" s="264">
        <f t="shared" si="2"/>
        <v>71702047</v>
      </c>
      <c r="P12" s="537"/>
    </row>
    <row r="13" spans="1:16" s="71" customFormat="1" ht="18" customHeight="1">
      <c r="A13" s="164" t="s">
        <v>28</v>
      </c>
      <c r="B13" s="164" t="s">
        <v>190</v>
      </c>
      <c r="C13" s="264">
        <v>7370996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5224723</v>
      </c>
      <c r="L13" s="264">
        <f t="shared" si="1"/>
        <v>5224723</v>
      </c>
      <c r="M13" s="264">
        <v>0</v>
      </c>
      <c r="N13" s="264">
        <f t="shared" si="2"/>
        <v>12595719</v>
      </c>
      <c r="P13" s="537"/>
    </row>
    <row r="14" spans="1:16" s="71" customFormat="1" ht="18" customHeight="1">
      <c r="A14" s="164" t="s">
        <v>29</v>
      </c>
      <c r="B14" s="164" t="s">
        <v>191</v>
      </c>
      <c r="C14" s="264">
        <v>1799205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2515964</v>
      </c>
      <c r="L14" s="264">
        <f t="shared" si="1"/>
        <v>2515964</v>
      </c>
      <c r="M14" s="264">
        <v>0</v>
      </c>
      <c r="N14" s="264">
        <f t="shared" si="2"/>
        <v>4315169</v>
      </c>
      <c r="P14" s="537"/>
    </row>
    <row r="15" spans="1:16" s="71" customFormat="1" ht="18" customHeight="1">
      <c r="A15" s="164" t="s">
        <v>114</v>
      </c>
      <c r="B15" s="164" t="s">
        <v>11</v>
      </c>
      <c r="C15" s="264">
        <v>747738</v>
      </c>
      <c r="D15" s="264">
        <v>0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7939736</v>
      </c>
      <c r="L15" s="264">
        <f t="shared" si="1"/>
        <v>7939736</v>
      </c>
      <c r="M15" s="264">
        <v>5000</v>
      </c>
      <c r="N15" s="264">
        <f t="shared" si="2"/>
        <v>8692474</v>
      </c>
      <c r="P15" s="537"/>
    </row>
    <row r="16" spans="1:16" s="83" customFormat="1" ht="18" customHeight="1">
      <c r="A16" s="164" t="s">
        <v>115</v>
      </c>
      <c r="B16" s="164" t="s">
        <v>192</v>
      </c>
      <c r="C16" s="264">
        <v>13822559</v>
      </c>
      <c r="D16" s="264">
        <v>0</v>
      </c>
      <c r="E16" s="264">
        <v>140233</v>
      </c>
      <c r="F16" s="264">
        <v>0</v>
      </c>
      <c r="G16" s="264">
        <v>0</v>
      </c>
      <c r="H16" s="264">
        <v>0</v>
      </c>
      <c r="I16" s="264">
        <v>0</v>
      </c>
      <c r="J16" s="264">
        <v>0</v>
      </c>
      <c r="K16" s="264">
        <v>54735</v>
      </c>
      <c r="L16" s="264">
        <f t="shared" si="1"/>
        <v>194968</v>
      </c>
      <c r="M16" s="264">
        <v>0</v>
      </c>
      <c r="N16" s="264">
        <f t="shared" si="2"/>
        <v>14017527</v>
      </c>
      <c r="O16" s="71"/>
      <c r="P16" s="537"/>
    </row>
    <row r="17" spans="1:16" s="83" customFormat="1" ht="18" customHeight="1">
      <c r="A17" s="164" t="s">
        <v>116</v>
      </c>
      <c r="B17" s="164" t="s">
        <v>193</v>
      </c>
      <c r="C17" s="264">
        <v>21862194</v>
      </c>
      <c r="D17" s="264">
        <v>0</v>
      </c>
      <c r="E17" s="264">
        <v>2053865</v>
      </c>
      <c r="F17" s="264">
        <v>13990</v>
      </c>
      <c r="G17" s="264">
        <v>270947</v>
      </c>
      <c r="H17" s="264">
        <v>0</v>
      </c>
      <c r="I17" s="264">
        <v>0</v>
      </c>
      <c r="J17" s="264">
        <v>0</v>
      </c>
      <c r="K17" s="264">
        <v>17750225</v>
      </c>
      <c r="L17" s="264">
        <f>SUM(E17:K17)</f>
        <v>20089027</v>
      </c>
      <c r="M17" s="264">
        <v>0</v>
      </c>
      <c r="N17" s="264">
        <f t="shared" si="2"/>
        <v>41951221</v>
      </c>
      <c r="O17" s="71"/>
      <c r="P17" s="537"/>
    </row>
    <row r="18" spans="1:16" s="83" customFormat="1" ht="18" customHeight="1">
      <c r="A18" s="164" t="s">
        <v>117</v>
      </c>
      <c r="B18" s="164" t="s">
        <v>194</v>
      </c>
      <c r="C18" s="264">
        <v>192853787</v>
      </c>
      <c r="D18" s="264">
        <v>0</v>
      </c>
      <c r="E18" s="264">
        <v>136308591</v>
      </c>
      <c r="F18" s="264">
        <v>0</v>
      </c>
      <c r="G18" s="264">
        <v>109587526</v>
      </c>
      <c r="H18" s="264">
        <v>0</v>
      </c>
      <c r="I18" s="264">
        <v>0</v>
      </c>
      <c r="J18" s="264">
        <v>0</v>
      </c>
      <c r="K18" s="264">
        <v>0</v>
      </c>
      <c r="L18" s="264">
        <f t="shared" si="1"/>
        <v>245896117</v>
      </c>
      <c r="M18" s="264">
        <v>982500</v>
      </c>
      <c r="N18" s="264">
        <f t="shared" si="2"/>
        <v>439732404</v>
      </c>
      <c r="O18" s="71"/>
      <c r="P18" s="537"/>
    </row>
    <row r="19" spans="1:16" s="83" customFormat="1" ht="18" customHeight="1">
      <c r="A19" s="164" t="s">
        <v>118</v>
      </c>
      <c r="B19" s="164" t="s">
        <v>195</v>
      </c>
      <c r="C19" s="264">
        <v>140081816</v>
      </c>
      <c r="D19" s="264">
        <v>0</v>
      </c>
      <c r="E19" s="264">
        <v>0</v>
      </c>
      <c r="F19" s="264">
        <v>0</v>
      </c>
      <c r="G19" s="264">
        <v>127220795</v>
      </c>
      <c r="H19" s="264">
        <v>0</v>
      </c>
      <c r="I19" s="264">
        <v>0</v>
      </c>
      <c r="J19" s="264">
        <v>0</v>
      </c>
      <c r="K19" s="264">
        <v>0</v>
      </c>
      <c r="L19" s="264">
        <f t="shared" si="1"/>
        <v>127220795</v>
      </c>
      <c r="M19" s="264">
        <v>0</v>
      </c>
      <c r="N19" s="264">
        <f t="shared" si="2"/>
        <v>267302611</v>
      </c>
      <c r="O19" s="71"/>
      <c r="P19" s="537"/>
    </row>
    <row r="20" spans="1:16" s="83" customFormat="1" ht="18" customHeight="1">
      <c r="A20" s="164" t="s">
        <v>119</v>
      </c>
      <c r="B20" s="164" t="s">
        <v>196</v>
      </c>
      <c r="C20" s="264">
        <v>3508219</v>
      </c>
      <c r="D20" s="264">
        <v>0</v>
      </c>
      <c r="E20" s="264">
        <v>9196564</v>
      </c>
      <c r="F20" s="264">
        <v>0</v>
      </c>
      <c r="G20" s="264">
        <v>0</v>
      </c>
      <c r="H20" s="264">
        <v>0</v>
      </c>
      <c r="I20" s="264">
        <v>0</v>
      </c>
      <c r="J20" s="264">
        <v>0</v>
      </c>
      <c r="K20" s="264">
        <v>0</v>
      </c>
      <c r="L20" s="264">
        <f t="shared" si="1"/>
        <v>9196564</v>
      </c>
      <c r="M20" s="264">
        <v>0</v>
      </c>
      <c r="N20" s="264">
        <f t="shared" si="2"/>
        <v>12704783</v>
      </c>
      <c r="O20" s="71"/>
      <c r="P20" s="537"/>
    </row>
    <row r="21" spans="1:16" s="83" customFormat="1" ht="18" customHeight="1">
      <c r="A21" s="164" t="s">
        <v>120</v>
      </c>
      <c r="B21" s="164" t="s">
        <v>218</v>
      </c>
      <c r="C21" s="264">
        <v>0</v>
      </c>
      <c r="D21" s="264">
        <v>0</v>
      </c>
      <c r="E21" s="264">
        <v>0</v>
      </c>
      <c r="F21" s="264">
        <v>0</v>
      </c>
      <c r="G21" s="264">
        <v>0</v>
      </c>
      <c r="H21" s="264">
        <v>0</v>
      </c>
      <c r="I21" s="264">
        <v>0</v>
      </c>
      <c r="J21" s="264">
        <v>0</v>
      </c>
      <c r="K21" s="264">
        <v>0</v>
      </c>
      <c r="L21" s="264">
        <f t="shared" si="1"/>
        <v>0</v>
      </c>
      <c r="M21" s="264">
        <v>0</v>
      </c>
      <c r="N21" s="264">
        <f t="shared" si="2"/>
        <v>0</v>
      </c>
      <c r="O21" s="71"/>
      <c r="P21" s="537"/>
    </row>
    <row r="22" spans="1:16" s="83" customFormat="1" ht="18" customHeight="1">
      <c r="A22" s="556" t="s">
        <v>359</v>
      </c>
      <c r="B22" s="557"/>
      <c r="C22" s="265">
        <f t="shared" ref="C22:N22" si="3">SUM(C10:C21)</f>
        <v>862351894</v>
      </c>
      <c r="D22" s="265">
        <f t="shared" si="3"/>
        <v>0</v>
      </c>
      <c r="E22" s="265">
        <f t="shared" si="3"/>
        <v>327491713</v>
      </c>
      <c r="F22" s="265">
        <f t="shared" si="3"/>
        <v>10393518</v>
      </c>
      <c r="G22" s="265">
        <f t="shared" si="3"/>
        <v>322589727</v>
      </c>
      <c r="H22" s="265">
        <f>SUM(H10:H21)</f>
        <v>453114</v>
      </c>
      <c r="I22" s="265">
        <f t="shared" si="3"/>
        <v>7319766</v>
      </c>
      <c r="J22" s="265">
        <f t="shared" ref="J22" si="4">SUM(J10:J21)</f>
        <v>0</v>
      </c>
      <c r="K22" s="265">
        <f t="shared" si="3"/>
        <v>77092714</v>
      </c>
      <c r="L22" s="265">
        <f t="shared" si="3"/>
        <v>745340552</v>
      </c>
      <c r="M22" s="265">
        <f t="shared" si="3"/>
        <v>7798355</v>
      </c>
      <c r="N22" s="265">
        <f t="shared" si="3"/>
        <v>1615490801</v>
      </c>
    </row>
    <row r="23" spans="1:16" s="83" customFormat="1" ht="18" customHeight="1">
      <c r="A23" s="164" t="s">
        <v>30</v>
      </c>
      <c r="B23" s="164" t="s">
        <v>14</v>
      </c>
      <c r="C23" s="264">
        <v>14404658</v>
      </c>
      <c r="D23" s="264">
        <v>5685701</v>
      </c>
      <c r="E23" s="264">
        <v>0</v>
      </c>
      <c r="F23" s="264">
        <v>0</v>
      </c>
      <c r="G23" s="264">
        <v>0</v>
      </c>
      <c r="H23" s="264">
        <v>0</v>
      </c>
      <c r="I23" s="264">
        <v>0</v>
      </c>
      <c r="J23" s="264">
        <v>0</v>
      </c>
      <c r="K23" s="264">
        <v>911531</v>
      </c>
      <c r="L23" s="264">
        <f t="shared" ref="L23:L28" si="5">SUM(E23:K23)</f>
        <v>911531</v>
      </c>
      <c r="M23" s="264">
        <v>0</v>
      </c>
      <c r="N23" s="264">
        <f t="shared" ref="N23:N28" si="6">SUM(C23,D23,L23,M23)</f>
        <v>21001890</v>
      </c>
      <c r="O23" s="71"/>
      <c r="P23" s="537"/>
    </row>
    <row r="24" spans="1:16" s="83" customFormat="1" ht="18" customHeight="1">
      <c r="A24" s="164" t="s">
        <v>121</v>
      </c>
      <c r="B24" s="164" t="s">
        <v>15</v>
      </c>
      <c r="C24" s="264">
        <v>5112057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0</v>
      </c>
      <c r="K24" s="264">
        <v>3310501</v>
      </c>
      <c r="L24" s="264">
        <f t="shared" si="5"/>
        <v>3310501</v>
      </c>
      <c r="M24" s="264">
        <v>0</v>
      </c>
      <c r="N24" s="264">
        <f t="shared" si="6"/>
        <v>8422558</v>
      </c>
      <c r="O24" s="71"/>
      <c r="P24" s="537"/>
    </row>
    <row r="25" spans="1:16" s="83" customFormat="1" ht="18" customHeight="1">
      <c r="A25" s="164" t="s">
        <v>122</v>
      </c>
      <c r="B25" s="164" t="s">
        <v>16</v>
      </c>
      <c r="C25" s="264">
        <v>19206</v>
      </c>
      <c r="D25" s="264">
        <v>0</v>
      </c>
      <c r="E25" s="264">
        <v>0</v>
      </c>
      <c r="F25" s="264">
        <v>0</v>
      </c>
      <c r="G25" s="264">
        <v>0</v>
      </c>
      <c r="H25" s="264">
        <v>0</v>
      </c>
      <c r="I25" s="264">
        <v>0</v>
      </c>
      <c r="J25" s="264">
        <v>0</v>
      </c>
      <c r="K25" s="264">
        <v>2591039</v>
      </c>
      <c r="L25" s="264">
        <f t="shared" si="5"/>
        <v>2591039</v>
      </c>
      <c r="M25" s="264">
        <v>0</v>
      </c>
      <c r="N25" s="264">
        <f t="shared" si="6"/>
        <v>2610245</v>
      </c>
      <c r="O25" s="71"/>
      <c r="P25" s="537"/>
    </row>
    <row r="26" spans="1:16" s="83" customFormat="1" ht="18" customHeight="1">
      <c r="A26" s="164" t="s">
        <v>104</v>
      </c>
      <c r="B26" s="164" t="s">
        <v>17</v>
      </c>
      <c r="C26" s="264">
        <v>2210</v>
      </c>
      <c r="D26" s="264">
        <v>0</v>
      </c>
      <c r="E26" s="264">
        <v>0</v>
      </c>
      <c r="F26" s="264">
        <v>0</v>
      </c>
      <c r="G26" s="264">
        <v>0</v>
      </c>
      <c r="H26" s="264">
        <v>0</v>
      </c>
      <c r="I26" s="264">
        <v>0</v>
      </c>
      <c r="J26" s="264">
        <v>0</v>
      </c>
      <c r="K26" s="264">
        <v>4220630</v>
      </c>
      <c r="L26" s="264">
        <f t="shared" si="5"/>
        <v>4220630</v>
      </c>
      <c r="M26" s="264">
        <v>23324</v>
      </c>
      <c r="N26" s="264">
        <f t="shared" si="6"/>
        <v>4246164</v>
      </c>
      <c r="O26" s="71"/>
      <c r="P26" s="537"/>
    </row>
    <row r="27" spans="1:16" s="83" customFormat="1" ht="18" customHeight="1">
      <c r="A27" s="164" t="s">
        <v>105</v>
      </c>
      <c r="B27" s="164" t="s">
        <v>158</v>
      </c>
      <c r="C27" s="264">
        <v>34802862</v>
      </c>
      <c r="D27" s="264">
        <v>0</v>
      </c>
      <c r="E27" s="264">
        <v>5946607</v>
      </c>
      <c r="F27" s="264">
        <v>0</v>
      </c>
      <c r="G27" s="264">
        <v>0</v>
      </c>
      <c r="H27" s="264">
        <v>0</v>
      </c>
      <c r="I27" s="264">
        <v>0</v>
      </c>
      <c r="J27" s="264">
        <v>16327786</v>
      </c>
      <c r="K27" s="264">
        <v>0</v>
      </c>
      <c r="L27" s="264">
        <f t="shared" si="5"/>
        <v>22274393</v>
      </c>
      <c r="M27" s="264">
        <v>0</v>
      </c>
      <c r="N27" s="264">
        <f t="shared" si="6"/>
        <v>57077255</v>
      </c>
      <c r="O27" s="71"/>
      <c r="P27" s="537"/>
    </row>
    <row r="28" spans="1:16" s="83" customFormat="1" ht="18" customHeight="1">
      <c r="A28" s="164" t="s">
        <v>123</v>
      </c>
      <c r="B28" s="164" t="s">
        <v>159</v>
      </c>
      <c r="C28" s="264">
        <v>4855482</v>
      </c>
      <c r="D28" s="264">
        <v>0</v>
      </c>
      <c r="E28" s="264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2327317</v>
      </c>
      <c r="K28" s="264">
        <v>464308</v>
      </c>
      <c r="L28" s="264">
        <f t="shared" si="5"/>
        <v>2791625</v>
      </c>
      <c r="M28" s="264">
        <v>0</v>
      </c>
      <c r="N28" s="264">
        <f t="shared" si="6"/>
        <v>7647107</v>
      </c>
      <c r="O28" s="71"/>
      <c r="P28" s="537"/>
    </row>
    <row r="29" spans="1:16" s="83" customFormat="1" ht="18" customHeight="1">
      <c r="A29" s="556" t="s">
        <v>360</v>
      </c>
      <c r="B29" s="557"/>
      <c r="C29" s="265">
        <f>SUM(C23:C28)</f>
        <v>59196475</v>
      </c>
      <c r="D29" s="265">
        <f t="shared" ref="D29:N29" si="7">SUM(D23:D28)</f>
        <v>5685701</v>
      </c>
      <c r="E29" s="265">
        <f t="shared" si="7"/>
        <v>5946607</v>
      </c>
      <c r="F29" s="265">
        <f t="shared" si="7"/>
        <v>0</v>
      </c>
      <c r="G29" s="265">
        <f t="shared" si="7"/>
        <v>0</v>
      </c>
      <c r="H29" s="265">
        <f t="shared" si="7"/>
        <v>0</v>
      </c>
      <c r="I29" s="265">
        <f t="shared" si="7"/>
        <v>0</v>
      </c>
      <c r="J29" s="265">
        <f t="shared" ref="J29" si="8">SUM(J23:J28)</f>
        <v>18655103</v>
      </c>
      <c r="K29" s="265">
        <f t="shared" si="7"/>
        <v>11498009</v>
      </c>
      <c r="L29" s="265">
        <f t="shared" si="7"/>
        <v>36099719</v>
      </c>
      <c r="M29" s="265">
        <f t="shared" si="7"/>
        <v>23324</v>
      </c>
      <c r="N29" s="265">
        <f t="shared" si="7"/>
        <v>101005219</v>
      </c>
    </row>
    <row r="30" spans="1:16" s="83" customFormat="1" ht="18" customHeight="1">
      <c r="A30" s="160" t="s">
        <v>106</v>
      </c>
      <c r="B30" s="150" t="s">
        <v>197</v>
      </c>
      <c r="C30" s="264">
        <v>37462859</v>
      </c>
      <c r="D30" s="264">
        <v>0</v>
      </c>
      <c r="E30" s="264">
        <v>0</v>
      </c>
      <c r="F30" s="264">
        <v>0</v>
      </c>
      <c r="G30" s="264">
        <v>0</v>
      </c>
      <c r="H30" s="264">
        <v>16693079</v>
      </c>
      <c r="I30" s="264">
        <v>4702758</v>
      </c>
      <c r="J30" s="264">
        <v>0</v>
      </c>
      <c r="K30" s="264">
        <v>0</v>
      </c>
      <c r="L30" s="264">
        <f>SUM(E30:K30)</f>
        <v>21395837</v>
      </c>
      <c r="M30" s="264">
        <v>0</v>
      </c>
      <c r="N30" s="264">
        <f>SUM(C30,D30,L30,M30)</f>
        <v>58858696</v>
      </c>
      <c r="O30" s="71"/>
      <c r="P30" s="537"/>
    </row>
    <row r="31" spans="1:16" s="83" customFormat="1" ht="18" customHeight="1">
      <c r="A31" s="160" t="s">
        <v>107</v>
      </c>
      <c r="B31" s="150" t="s">
        <v>124</v>
      </c>
      <c r="C31" s="264">
        <v>2960616</v>
      </c>
      <c r="D31" s="264">
        <v>0</v>
      </c>
      <c r="E31" s="264">
        <v>0</v>
      </c>
      <c r="F31" s="264">
        <v>0</v>
      </c>
      <c r="G31" s="264">
        <v>0</v>
      </c>
      <c r="H31" s="264">
        <v>2568530</v>
      </c>
      <c r="I31" s="264">
        <v>499397</v>
      </c>
      <c r="J31" s="264">
        <v>0</v>
      </c>
      <c r="K31" s="264">
        <v>0</v>
      </c>
      <c r="L31" s="264">
        <f>SUM(E31:K31)</f>
        <v>3067927</v>
      </c>
      <c r="M31" s="264">
        <v>25000</v>
      </c>
      <c r="N31" s="264">
        <f>SUM(C31,D31,L31,M31)</f>
        <v>6053543</v>
      </c>
      <c r="O31" s="71"/>
      <c r="P31" s="537"/>
    </row>
    <row r="32" spans="1:16" s="83" customFormat="1" ht="18" customHeight="1">
      <c r="A32" s="160" t="s">
        <v>108</v>
      </c>
      <c r="B32" s="150" t="s">
        <v>198</v>
      </c>
      <c r="C32" s="264">
        <v>2118818</v>
      </c>
      <c r="D32" s="264">
        <v>0</v>
      </c>
      <c r="E32" s="264">
        <v>0</v>
      </c>
      <c r="F32" s="264">
        <v>0</v>
      </c>
      <c r="G32" s="264">
        <v>0</v>
      </c>
      <c r="H32" s="264">
        <v>6925056</v>
      </c>
      <c r="I32" s="264">
        <v>0</v>
      </c>
      <c r="J32" s="264">
        <v>0</v>
      </c>
      <c r="K32" s="264">
        <v>0</v>
      </c>
      <c r="L32" s="264">
        <f>SUM(E32:K32)</f>
        <v>6925056</v>
      </c>
      <c r="M32" s="264">
        <v>0</v>
      </c>
      <c r="N32" s="264">
        <f>SUM(C32,D32,L32,M32)</f>
        <v>9043874</v>
      </c>
      <c r="O32" s="71"/>
      <c r="P32" s="537"/>
    </row>
    <row r="33" spans="1:16" s="84" customFormat="1" ht="18" customHeight="1">
      <c r="A33" s="556" t="s">
        <v>361</v>
      </c>
      <c r="B33" s="557"/>
      <c r="C33" s="265">
        <f t="shared" ref="C33:N33" si="9">SUM(C30:C32)</f>
        <v>42542293</v>
      </c>
      <c r="D33" s="265">
        <f t="shared" si="9"/>
        <v>0</v>
      </c>
      <c r="E33" s="265">
        <f t="shared" si="9"/>
        <v>0</v>
      </c>
      <c r="F33" s="265">
        <f t="shared" si="9"/>
        <v>0</v>
      </c>
      <c r="G33" s="265">
        <f t="shared" si="9"/>
        <v>0</v>
      </c>
      <c r="H33" s="265">
        <f t="shared" si="9"/>
        <v>26186665</v>
      </c>
      <c r="I33" s="265">
        <f t="shared" si="9"/>
        <v>5202155</v>
      </c>
      <c r="J33" s="265">
        <f t="shared" ref="J33" si="10">SUM(J30:J32)</f>
        <v>0</v>
      </c>
      <c r="K33" s="265">
        <f t="shared" si="9"/>
        <v>0</v>
      </c>
      <c r="L33" s="265">
        <f t="shared" si="9"/>
        <v>31388820</v>
      </c>
      <c r="M33" s="265">
        <f t="shared" si="9"/>
        <v>25000</v>
      </c>
      <c r="N33" s="265">
        <f t="shared" si="9"/>
        <v>73956113</v>
      </c>
    </row>
    <row r="34" spans="1:16" s="84" customFormat="1" ht="18" customHeight="1">
      <c r="A34" s="175" t="s">
        <v>109</v>
      </c>
      <c r="B34" s="175" t="s">
        <v>19</v>
      </c>
      <c r="C34" s="264">
        <v>24622875</v>
      </c>
      <c r="D34" s="264">
        <v>0</v>
      </c>
      <c r="E34" s="264">
        <v>0</v>
      </c>
      <c r="F34" s="264">
        <v>19349885</v>
      </c>
      <c r="G34" s="264">
        <v>2480210</v>
      </c>
      <c r="H34" s="264">
        <v>971645</v>
      </c>
      <c r="I34" s="264">
        <v>0</v>
      </c>
      <c r="J34" s="264">
        <v>0</v>
      </c>
      <c r="K34" s="264">
        <v>0</v>
      </c>
      <c r="L34" s="264">
        <f>SUM(E34:K34)</f>
        <v>22801740</v>
      </c>
      <c r="M34" s="264">
        <v>178729</v>
      </c>
      <c r="N34" s="264">
        <f>SUM(C34,D34,L34,M34)</f>
        <v>47603344</v>
      </c>
      <c r="O34" s="71"/>
      <c r="P34" s="537"/>
    </row>
    <row r="35" spans="1:16" s="84" customFormat="1" ht="18" customHeight="1">
      <c r="A35" s="556" t="s">
        <v>371</v>
      </c>
      <c r="B35" s="557"/>
      <c r="C35" s="265">
        <f>C34</f>
        <v>24622875</v>
      </c>
      <c r="D35" s="265">
        <f t="shared" ref="D35:N35" si="11">D34</f>
        <v>0</v>
      </c>
      <c r="E35" s="265">
        <f t="shared" si="11"/>
        <v>0</v>
      </c>
      <c r="F35" s="265">
        <f t="shared" si="11"/>
        <v>19349885</v>
      </c>
      <c r="G35" s="265">
        <f t="shared" si="11"/>
        <v>2480210</v>
      </c>
      <c r="H35" s="265">
        <f t="shared" si="11"/>
        <v>971645</v>
      </c>
      <c r="I35" s="265">
        <f t="shared" si="11"/>
        <v>0</v>
      </c>
      <c r="J35" s="265">
        <f t="shared" ref="J35" si="12">J34</f>
        <v>0</v>
      </c>
      <c r="K35" s="265">
        <f t="shared" si="11"/>
        <v>0</v>
      </c>
      <c r="L35" s="265">
        <f t="shared" si="11"/>
        <v>22801740</v>
      </c>
      <c r="M35" s="265">
        <f t="shared" si="11"/>
        <v>178729</v>
      </c>
      <c r="N35" s="265">
        <f t="shared" si="11"/>
        <v>47603344</v>
      </c>
    </row>
    <row r="36" spans="1:16" s="83" customFormat="1" ht="18" customHeight="1">
      <c r="A36" s="164" t="s">
        <v>110</v>
      </c>
      <c r="B36" s="164" t="s">
        <v>20</v>
      </c>
      <c r="C36" s="264">
        <v>8486172</v>
      </c>
      <c r="D36" s="264">
        <v>0</v>
      </c>
      <c r="E36" s="264">
        <v>5625348</v>
      </c>
      <c r="F36" s="264">
        <v>429788</v>
      </c>
      <c r="G36" s="264">
        <v>1302296</v>
      </c>
      <c r="H36" s="264">
        <v>691927</v>
      </c>
      <c r="I36" s="264">
        <v>244646</v>
      </c>
      <c r="J36" s="264">
        <v>0</v>
      </c>
      <c r="K36" s="264">
        <v>383377</v>
      </c>
      <c r="L36" s="264">
        <f t="shared" ref="L36:L39" si="13">SUM(E36:K36)</f>
        <v>8677382</v>
      </c>
      <c r="M36" s="264">
        <v>0</v>
      </c>
      <c r="N36" s="264">
        <f t="shared" ref="N36:N42" si="14">SUM(C36,D36,L36,M36)</f>
        <v>17163554</v>
      </c>
      <c r="O36" s="71"/>
      <c r="P36" s="537"/>
    </row>
    <row r="37" spans="1:16" s="83" customFormat="1" ht="18" customHeight="1">
      <c r="A37" s="164" t="s">
        <v>111</v>
      </c>
      <c r="B37" s="164" t="s">
        <v>21</v>
      </c>
      <c r="C37" s="264">
        <v>7211685</v>
      </c>
      <c r="D37" s="264">
        <v>0</v>
      </c>
      <c r="E37" s="264">
        <v>2065517</v>
      </c>
      <c r="F37" s="264">
        <v>91824</v>
      </c>
      <c r="G37" s="264">
        <v>626226</v>
      </c>
      <c r="H37" s="264">
        <v>363115</v>
      </c>
      <c r="I37" s="264">
        <v>88339</v>
      </c>
      <c r="J37" s="264">
        <v>0</v>
      </c>
      <c r="K37" s="264">
        <v>75728</v>
      </c>
      <c r="L37" s="264">
        <f t="shared" si="13"/>
        <v>3310749</v>
      </c>
      <c r="M37" s="264">
        <v>16493</v>
      </c>
      <c r="N37" s="264">
        <f t="shared" si="14"/>
        <v>10538927</v>
      </c>
      <c r="O37" s="71"/>
      <c r="P37" s="537"/>
    </row>
    <row r="38" spans="1:16" s="83" customFormat="1" ht="18" customHeight="1">
      <c r="A38" s="164" t="s">
        <v>112</v>
      </c>
      <c r="B38" s="164" t="s">
        <v>22</v>
      </c>
      <c r="C38" s="264">
        <v>324426</v>
      </c>
      <c r="D38" s="264">
        <v>0</v>
      </c>
      <c r="E38" s="264">
        <v>337196</v>
      </c>
      <c r="F38" s="264">
        <v>11513</v>
      </c>
      <c r="G38" s="264">
        <v>61319</v>
      </c>
      <c r="H38" s="264">
        <v>22910</v>
      </c>
      <c r="I38" s="264">
        <v>11420</v>
      </c>
      <c r="J38" s="264">
        <v>0</v>
      </c>
      <c r="K38" s="264">
        <v>1737</v>
      </c>
      <c r="L38" s="264">
        <f t="shared" si="13"/>
        <v>446095</v>
      </c>
      <c r="M38" s="264">
        <v>0</v>
      </c>
      <c r="N38" s="264">
        <f t="shared" si="14"/>
        <v>770521</v>
      </c>
      <c r="O38" s="71"/>
      <c r="P38" s="537"/>
    </row>
    <row r="39" spans="1:16" s="83" customFormat="1" ht="18" customHeight="1">
      <c r="A39" s="164" t="s">
        <v>113</v>
      </c>
      <c r="B39" s="164" t="s">
        <v>23</v>
      </c>
      <c r="C39" s="264">
        <v>20634419</v>
      </c>
      <c r="D39" s="264">
        <v>0</v>
      </c>
      <c r="E39" s="264">
        <v>10118988</v>
      </c>
      <c r="F39" s="264">
        <v>830092</v>
      </c>
      <c r="G39" s="264">
        <v>2812221</v>
      </c>
      <c r="H39" s="264">
        <v>1238848</v>
      </c>
      <c r="I39" s="264">
        <v>518658</v>
      </c>
      <c r="J39" s="264">
        <v>0</v>
      </c>
      <c r="K39" s="264">
        <v>627700</v>
      </c>
      <c r="L39" s="264">
        <f t="shared" si="13"/>
        <v>16146507</v>
      </c>
      <c r="M39" s="264">
        <v>500000</v>
      </c>
      <c r="N39" s="264">
        <f t="shared" si="14"/>
        <v>37280926</v>
      </c>
      <c r="O39" s="71"/>
      <c r="P39" s="537"/>
    </row>
    <row r="40" spans="1:16" s="84" customFormat="1" ht="18" customHeight="1">
      <c r="A40" s="556" t="s">
        <v>363</v>
      </c>
      <c r="B40" s="557"/>
      <c r="C40" s="265">
        <f t="shared" ref="C40:N40" si="15">SUM(C36:C39)</f>
        <v>36656702</v>
      </c>
      <c r="D40" s="265">
        <f t="shared" si="15"/>
        <v>0</v>
      </c>
      <c r="E40" s="265">
        <f t="shared" si="15"/>
        <v>18147049</v>
      </c>
      <c r="F40" s="265">
        <f t="shared" si="15"/>
        <v>1363217</v>
      </c>
      <c r="G40" s="265">
        <f t="shared" si="15"/>
        <v>4802062</v>
      </c>
      <c r="H40" s="265">
        <f t="shared" si="15"/>
        <v>2316800</v>
      </c>
      <c r="I40" s="265">
        <f t="shared" si="15"/>
        <v>863063</v>
      </c>
      <c r="J40" s="265">
        <f t="shared" ref="J40" si="16">SUM(J36:J39)</f>
        <v>0</v>
      </c>
      <c r="K40" s="265">
        <f t="shared" si="15"/>
        <v>1088542</v>
      </c>
      <c r="L40" s="265">
        <f t="shared" si="15"/>
        <v>28580733</v>
      </c>
      <c r="M40" s="265">
        <f t="shared" si="15"/>
        <v>516493</v>
      </c>
      <c r="N40" s="265">
        <f t="shared" si="15"/>
        <v>65753928</v>
      </c>
    </row>
    <row r="41" spans="1:16" s="84" customFormat="1" ht="18" customHeight="1">
      <c r="A41" s="164" t="s">
        <v>199</v>
      </c>
      <c r="B41" s="164" t="s">
        <v>125</v>
      </c>
      <c r="C41" s="264">
        <v>41129272</v>
      </c>
      <c r="D41" s="264">
        <v>0</v>
      </c>
      <c r="E41" s="264">
        <v>14193825</v>
      </c>
      <c r="F41" s="264">
        <v>0</v>
      </c>
      <c r="G41" s="264">
        <v>4977719</v>
      </c>
      <c r="H41" s="264">
        <v>0</v>
      </c>
      <c r="I41" s="264">
        <v>570589</v>
      </c>
      <c r="J41" s="264">
        <v>0</v>
      </c>
      <c r="K41" s="264">
        <v>0</v>
      </c>
      <c r="L41" s="264">
        <f>SUM(E41:K41)</f>
        <v>19742133</v>
      </c>
      <c r="M41" s="264">
        <v>0</v>
      </c>
      <c r="N41" s="264">
        <f t="shared" si="14"/>
        <v>60871405</v>
      </c>
      <c r="O41" s="71"/>
      <c r="P41" s="537"/>
    </row>
    <row r="42" spans="1:16" s="84" customFormat="1" ht="21" customHeight="1">
      <c r="A42" s="556" t="s">
        <v>372</v>
      </c>
      <c r="B42" s="557"/>
      <c r="C42" s="265">
        <f t="shared" ref="C42:M42" si="17">SUM(C41)</f>
        <v>41129272</v>
      </c>
      <c r="D42" s="265">
        <f t="shared" si="17"/>
        <v>0</v>
      </c>
      <c r="E42" s="265">
        <f t="shared" si="17"/>
        <v>14193825</v>
      </c>
      <c r="F42" s="265">
        <f t="shared" si="17"/>
        <v>0</v>
      </c>
      <c r="G42" s="265">
        <f t="shared" si="17"/>
        <v>4977719</v>
      </c>
      <c r="H42" s="265">
        <f t="shared" si="17"/>
        <v>0</v>
      </c>
      <c r="I42" s="265">
        <f t="shared" si="17"/>
        <v>570589</v>
      </c>
      <c r="J42" s="265">
        <f t="shared" ref="J42" si="18">SUM(J41)</f>
        <v>0</v>
      </c>
      <c r="K42" s="265">
        <f t="shared" si="17"/>
        <v>0</v>
      </c>
      <c r="L42" s="265">
        <f t="shared" si="17"/>
        <v>19742133</v>
      </c>
      <c r="M42" s="265">
        <f t="shared" si="17"/>
        <v>0</v>
      </c>
      <c r="N42" s="265">
        <f t="shared" si="14"/>
        <v>60871405</v>
      </c>
    </row>
    <row r="43" spans="1:16" s="84" customFormat="1" ht="15.75">
      <c r="A43" s="173"/>
      <c r="B43" s="173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7"/>
    </row>
    <row r="44" spans="1:16" s="84" customFormat="1" ht="15" customHeight="1" thickBot="1">
      <c r="A44" s="169" t="s">
        <v>373</v>
      </c>
      <c r="B44" s="268"/>
      <c r="C44" s="269">
        <f>SUM(C40,C35,C33,C29,C22,C9,C42)</f>
        <v>1075839365</v>
      </c>
      <c r="D44" s="269">
        <f>SUM(D40,D35,D33,D29,D22,D9,D42)</f>
        <v>5685701</v>
      </c>
      <c r="E44" s="269">
        <f>SUM(E40,E35,E33,E29,E22,E9,E42)</f>
        <v>376370645</v>
      </c>
      <c r="F44" s="269">
        <f>SUM(F40,F35,F33,F29,F22,F9,F42)</f>
        <v>31158166</v>
      </c>
      <c r="G44" s="269">
        <f>SUM(G40,G35,G33,G29,G22,G9+G42)</f>
        <v>334881378</v>
      </c>
      <c r="H44" s="269">
        <f>SUM(H40,H35,H33,H29,H22,H9,H42)</f>
        <v>32201755</v>
      </c>
      <c r="I44" s="269">
        <f>SUM(I40,I35,I33,I29,I22,I9,I42)</f>
        <v>14121735</v>
      </c>
      <c r="J44" s="269">
        <f>SUM(J40,J35,J33,J29,J22,J9,J42)</f>
        <v>18655103</v>
      </c>
      <c r="K44" s="269">
        <f>SUM(K40,K35,K33,K29,K22,K9+K42)</f>
        <v>89679265</v>
      </c>
      <c r="L44" s="269">
        <f>SUM(L40,L35,L33,L29,L22,L9,L42)</f>
        <v>897068047</v>
      </c>
      <c r="M44" s="269">
        <f>SUM(M40,M35,M33,M29,M22,M9,M42)</f>
        <v>8541901</v>
      </c>
      <c r="N44" s="270">
        <f>SUM(N40,N35,N33,N29,N22,N9,N42)</f>
        <v>1987135014</v>
      </c>
    </row>
    <row r="45" spans="1:16" s="15" customFormat="1" ht="15" thickTop="1">
      <c r="A45" s="82" t="s">
        <v>148</v>
      </c>
      <c r="B45" s="6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6" s="15" customFormat="1" ht="15">
      <c r="A46" s="62"/>
      <c r="B46" s="62"/>
      <c r="C46" s="10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6" s="15" customFormat="1" ht="15">
      <c r="A47" s="62"/>
      <c r="B47" s="62"/>
      <c r="C47" s="101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6" s="15" customFormat="1" ht="15">
      <c r="A48" s="62"/>
      <c r="B48" s="62"/>
      <c r="C48" s="10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s="15" customFormat="1" ht="14.25">
      <c r="A49" s="62"/>
      <c r="B49" s="62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s="15" customFormat="1" ht="14.25">
      <c r="A50" s="62"/>
      <c r="B50" s="62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s="15" customFormat="1" ht="14.25">
      <c r="A51" s="62"/>
      <c r="B51" s="62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s="15" customFormat="1" ht="14.2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s="15" customFormat="1" ht="14.2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s="15" customFormat="1" ht="14.2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s="15" customFormat="1" ht="14.2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s="15" customFormat="1" ht="14.2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s="15" customFormat="1" ht="14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s="15" customFormat="1" ht="14.2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s="15" customFormat="1" ht="14.2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s="15" customFormat="1" ht="14.2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s="15" customFormat="1" ht="14.2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s="15" customFormat="1" ht="14.2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s="15" customFormat="1" ht="14.2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s="15" customFormat="1" ht="14.2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3:14" s="15" customFormat="1" ht="14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3:14" s="15" customFormat="1" ht="14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3:14" s="15" customFormat="1" ht="14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3:14" s="15" customFormat="1" ht="14.2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s="15" customFormat="1" ht="14.2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3:14" s="15" customFormat="1" ht="14.2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3:14" s="15" customFormat="1" ht="14.2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3:14" s="15" customFormat="1" ht="14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3:14" s="15" customFormat="1" ht="14.2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3:14" s="15" customFormat="1" ht="14.2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3:14" s="15" customFormat="1" ht="14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3:14" s="15" customFormat="1" ht="14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3:14" s="15" customFormat="1" ht="14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3:14" s="15" customFormat="1" ht="14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s="15" customFormat="1" ht="14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3:14" s="15" customFormat="1" ht="14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s="15" customFormat="1" ht="14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s="15" customFormat="1" ht="14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s="15" customFormat="1" ht="14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s="15" customFormat="1" ht="14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s="15" customFormat="1" ht="14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s="15" customFormat="1" ht="14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3:14" s="15" customFormat="1" ht="14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3:14" s="15" customFormat="1" ht="14.2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3:14" s="15" customFormat="1" ht="14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3:14" s="15" customFormat="1" ht="14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</sheetData>
  <mergeCells count="9">
    <mergeCell ref="A42:B42"/>
    <mergeCell ref="A5:B5"/>
    <mergeCell ref="E5:L5"/>
    <mergeCell ref="A40:B40"/>
    <mergeCell ref="A9:B9"/>
    <mergeCell ref="A22:B22"/>
    <mergeCell ref="A29:B29"/>
    <mergeCell ref="A33:B33"/>
    <mergeCell ref="A35:B35"/>
  </mergeCells>
  <phoneticPr fontId="19" type="noConversion"/>
  <printOptions horizontalCentered="1"/>
  <pageMargins left="0.19" right="0.17" top="0.5" bottom="0.61" header="0.5" footer="0.39"/>
  <pageSetup scale="53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57"/>
  <sheetViews>
    <sheetView topLeftCell="A7" zoomScale="80" zoomScaleNormal="80" workbookViewId="0">
      <selection activeCell="H23" sqref="H23"/>
    </sheetView>
  </sheetViews>
  <sheetFormatPr defaultColWidth="9.140625" defaultRowHeight="15.75"/>
  <cols>
    <col min="1" max="1" width="7.7109375" style="195" customWidth="1"/>
    <col min="2" max="2" width="52.7109375" style="195" bestFit="1" customWidth="1"/>
    <col min="3" max="3" width="17.140625" style="198" bestFit="1" customWidth="1"/>
    <col min="4" max="4" width="13.7109375" style="198" bestFit="1" customWidth="1"/>
    <col min="5" max="5" width="16.42578125" style="198" bestFit="1" customWidth="1"/>
    <col min="6" max="9" width="15.140625" style="198" bestFit="1" customWidth="1"/>
    <col min="10" max="10" width="15" style="198" customWidth="1"/>
    <col min="11" max="11" width="15.140625" style="198" bestFit="1" customWidth="1"/>
    <col min="12" max="12" width="16.42578125" style="198" bestFit="1" customWidth="1"/>
    <col min="13" max="13" width="13.85546875" style="198" bestFit="1" customWidth="1"/>
    <col min="14" max="14" width="17.140625" style="198" bestFit="1" customWidth="1"/>
    <col min="15" max="16384" width="9.140625" style="195"/>
  </cols>
  <sheetData>
    <row r="1" spans="1:14" s="373" customFormat="1">
      <c r="A1" s="246" t="s">
        <v>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>
      <c r="A2" s="247" t="s">
        <v>256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>
      <c r="A3" s="194" t="s">
        <v>419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4">
      <c r="A4" s="271"/>
      <c r="B4" s="374"/>
      <c r="C4" s="374"/>
      <c r="D4" s="374"/>
      <c r="E4" s="374"/>
      <c r="F4" s="374"/>
      <c r="G4" s="374"/>
      <c r="H4" s="374"/>
      <c r="I4" s="375"/>
      <c r="J4" s="375"/>
      <c r="K4" s="374"/>
      <c r="L4" s="374"/>
      <c r="M4" s="374"/>
      <c r="N4" s="538"/>
    </row>
    <row r="5" spans="1:14">
      <c r="A5" s="272"/>
      <c r="B5" s="248"/>
      <c r="C5" s="250"/>
      <c r="D5" s="251"/>
      <c r="E5" s="561" t="s">
        <v>6</v>
      </c>
      <c r="F5" s="561"/>
      <c r="G5" s="561"/>
      <c r="H5" s="561"/>
      <c r="I5" s="561"/>
      <c r="J5" s="561"/>
      <c r="K5" s="561"/>
      <c r="L5" s="561"/>
      <c r="M5" s="250"/>
      <c r="N5" s="251"/>
    </row>
    <row r="6" spans="1:14" ht="31.5">
      <c r="A6" s="376"/>
      <c r="B6" s="377"/>
      <c r="C6" s="254" t="s">
        <v>4</v>
      </c>
      <c r="D6" s="378" t="s">
        <v>5</v>
      </c>
      <c r="E6" s="379" t="s">
        <v>252</v>
      </c>
      <c r="F6" s="380" t="s">
        <v>253</v>
      </c>
      <c r="G6" s="380" t="s">
        <v>246</v>
      </c>
      <c r="H6" s="380" t="s">
        <v>254</v>
      </c>
      <c r="I6" s="380" t="s">
        <v>255</v>
      </c>
      <c r="J6" s="380" t="s">
        <v>247</v>
      </c>
      <c r="K6" s="148" t="s">
        <v>248</v>
      </c>
      <c r="L6" s="381" t="s">
        <v>160</v>
      </c>
      <c r="M6" s="258" t="s">
        <v>161</v>
      </c>
      <c r="N6" s="259" t="s">
        <v>162</v>
      </c>
    </row>
    <row r="7" spans="1:14" ht="8.25" customHeight="1">
      <c r="A7" s="427"/>
      <c r="B7" s="427"/>
      <c r="C7" s="428"/>
      <c r="D7" s="428"/>
      <c r="E7" s="429"/>
      <c r="F7" s="429"/>
      <c r="G7" s="429"/>
      <c r="H7" s="429"/>
      <c r="I7" s="429"/>
      <c r="J7" s="429"/>
      <c r="K7" s="430"/>
      <c r="L7" s="430"/>
      <c r="M7" s="430"/>
      <c r="N7" s="430"/>
    </row>
    <row r="8" spans="1:14" s="185" customFormat="1" ht="18" customHeight="1">
      <c r="A8" s="161" t="s">
        <v>24</v>
      </c>
      <c r="B8" s="161" t="s">
        <v>7</v>
      </c>
      <c r="C8" s="382">
        <v>-674834</v>
      </c>
      <c r="D8" s="382">
        <v>0</v>
      </c>
      <c r="E8" s="382">
        <v>0</v>
      </c>
      <c r="F8" s="382">
        <v>0</v>
      </c>
      <c r="G8" s="382">
        <v>0</v>
      </c>
      <c r="H8" s="382">
        <v>0</v>
      </c>
      <c r="I8" s="382">
        <v>0</v>
      </c>
      <c r="J8" s="382">
        <v>0</v>
      </c>
      <c r="K8" s="382">
        <v>0</v>
      </c>
      <c r="L8" s="382">
        <f>SUM(E8:K8)</f>
        <v>0</v>
      </c>
      <c r="M8" s="382">
        <v>0</v>
      </c>
      <c r="N8" s="382">
        <f>SUM(C8,D8,L8,M8)</f>
        <v>-674834</v>
      </c>
    </row>
    <row r="9" spans="1:14" s="185" customFormat="1" ht="18" customHeight="1">
      <c r="A9" s="556" t="s">
        <v>358</v>
      </c>
      <c r="B9" s="557"/>
      <c r="C9" s="383">
        <f>C8</f>
        <v>-674834</v>
      </c>
      <c r="D9" s="383">
        <f t="shared" ref="D9:N9" si="0">D8</f>
        <v>0</v>
      </c>
      <c r="E9" s="383">
        <f t="shared" si="0"/>
        <v>0</v>
      </c>
      <c r="F9" s="383">
        <f t="shared" si="0"/>
        <v>0</v>
      </c>
      <c r="G9" s="383">
        <f t="shared" si="0"/>
        <v>0</v>
      </c>
      <c r="H9" s="383">
        <f t="shared" si="0"/>
        <v>0</v>
      </c>
      <c r="I9" s="383">
        <f t="shared" si="0"/>
        <v>0</v>
      </c>
      <c r="J9" s="383">
        <f t="shared" si="0"/>
        <v>0</v>
      </c>
      <c r="K9" s="383">
        <f t="shared" si="0"/>
        <v>0</v>
      </c>
      <c r="L9" s="383">
        <f t="shared" si="0"/>
        <v>0</v>
      </c>
      <c r="M9" s="383">
        <f t="shared" si="0"/>
        <v>0</v>
      </c>
      <c r="N9" s="383">
        <f t="shared" si="0"/>
        <v>-674834</v>
      </c>
    </row>
    <row r="10" spans="1:14" s="185" customFormat="1" ht="18" customHeight="1">
      <c r="A10" s="161" t="s">
        <v>25</v>
      </c>
      <c r="B10" s="161" t="s">
        <v>8</v>
      </c>
      <c r="C10" s="382">
        <v>-11687660</v>
      </c>
      <c r="D10" s="382">
        <v>0</v>
      </c>
      <c r="E10" s="382">
        <v>1262225</v>
      </c>
      <c r="F10" s="382">
        <v>0</v>
      </c>
      <c r="G10" s="382">
        <v>0</v>
      </c>
      <c r="H10" s="382">
        <v>0</v>
      </c>
      <c r="I10" s="382">
        <v>0</v>
      </c>
      <c r="J10" s="382">
        <v>0</v>
      </c>
      <c r="K10" s="382">
        <v>0</v>
      </c>
      <c r="L10" s="382">
        <f>SUM(E10:K10)</f>
        <v>1262225</v>
      </c>
      <c r="M10" s="382">
        <v>-35118</v>
      </c>
      <c r="N10" s="382">
        <f t="shared" ref="N10:N21" si="1">SUM(C10,D10,L10,M10)</f>
        <v>-10460553</v>
      </c>
    </row>
    <row r="11" spans="1:14" s="185" customFormat="1" ht="18" customHeight="1">
      <c r="A11" s="161" t="s">
        <v>26</v>
      </c>
      <c r="B11" s="161" t="s">
        <v>9</v>
      </c>
      <c r="C11" s="382">
        <v>0</v>
      </c>
      <c r="D11" s="382">
        <v>0</v>
      </c>
      <c r="E11" s="382">
        <v>0</v>
      </c>
      <c r="F11" s="382">
        <v>0</v>
      </c>
      <c r="G11" s="382">
        <v>0</v>
      </c>
      <c r="H11" s="382">
        <v>0</v>
      </c>
      <c r="I11" s="382">
        <v>0</v>
      </c>
      <c r="J11" s="382">
        <v>0</v>
      </c>
      <c r="K11" s="382">
        <v>0</v>
      </c>
      <c r="L11" s="382">
        <f t="shared" ref="L11:L21" si="2">SUM(E11:K11)</f>
        <v>0</v>
      </c>
      <c r="M11" s="382">
        <v>0</v>
      </c>
      <c r="N11" s="382">
        <f t="shared" si="1"/>
        <v>0</v>
      </c>
    </row>
    <row r="12" spans="1:14" s="185" customFormat="1" ht="18" customHeight="1">
      <c r="A12" s="161" t="s">
        <v>27</v>
      </c>
      <c r="B12" s="161" t="s">
        <v>189</v>
      </c>
      <c r="C12" s="382">
        <v>-16737423</v>
      </c>
      <c r="D12" s="382">
        <v>0</v>
      </c>
      <c r="E12" s="382">
        <v>0</v>
      </c>
      <c r="F12" s="382">
        <v>0</v>
      </c>
      <c r="G12" s="382">
        <v>0</v>
      </c>
      <c r="H12" s="382">
        <v>0</v>
      </c>
      <c r="I12" s="382">
        <v>0</v>
      </c>
      <c r="J12" s="382">
        <v>0</v>
      </c>
      <c r="K12" s="382">
        <v>0</v>
      </c>
      <c r="L12" s="382">
        <f t="shared" si="2"/>
        <v>0</v>
      </c>
      <c r="M12" s="382">
        <v>0</v>
      </c>
      <c r="N12" s="382">
        <f t="shared" si="1"/>
        <v>-16737423</v>
      </c>
    </row>
    <row r="13" spans="1:14" s="185" customFormat="1" ht="18" customHeight="1">
      <c r="A13" s="161" t="s">
        <v>28</v>
      </c>
      <c r="B13" s="161" t="s">
        <v>190</v>
      </c>
      <c r="C13" s="382">
        <v>-2530407</v>
      </c>
      <c r="D13" s="382">
        <v>0</v>
      </c>
      <c r="E13" s="382">
        <v>0</v>
      </c>
      <c r="F13" s="382">
        <v>0</v>
      </c>
      <c r="G13" s="382">
        <v>0</v>
      </c>
      <c r="H13" s="382">
        <v>0</v>
      </c>
      <c r="I13" s="382">
        <v>0</v>
      </c>
      <c r="J13" s="382">
        <v>0</v>
      </c>
      <c r="K13" s="382">
        <v>0</v>
      </c>
      <c r="L13" s="382">
        <f t="shared" si="2"/>
        <v>0</v>
      </c>
      <c r="M13" s="382">
        <v>0</v>
      </c>
      <c r="N13" s="382">
        <f t="shared" si="1"/>
        <v>-2530407</v>
      </c>
    </row>
    <row r="14" spans="1:14" s="185" customFormat="1" ht="18" customHeight="1">
      <c r="A14" s="161" t="s">
        <v>29</v>
      </c>
      <c r="B14" s="161" t="s">
        <v>191</v>
      </c>
      <c r="C14" s="382">
        <v>-826948</v>
      </c>
      <c r="D14" s="382">
        <v>0</v>
      </c>
      <c r="E14" s="382">
        <v>0</v>
      </c>
      <c r="F14" s="382">
        <v>0</v>
      </c>
      <c r="G14" s="382">
        <v>0</v>
      </c>
      <c r="H14" s="382">
        <v>0</v>
      </c>
      <c r="I14" s="382">
        <v>0</v>
      </c>
      <c r="J14" s="382">
        <v>0</v>
      </c>
      <c r="K14" s="382">
        <v>0</v>
      </c>
      <c r="L14" s="382">
        <f t="shared" si="2"/>
        <v>0</v>
      </c>
      <c r="M14" s="382">
        <v>0</v>
      </c>
      <c r="N14" s="382">
        <f t="shared" si="1"/>
        <v>-826948</v>
      </c>
    </row>
    <row r="15" spans="1:14" s="185" customFormat="1" ht="18" customHeight="1">
      <c r="A15" s="161" t="s">
        <v>114</v>
      </c>
      <c r="B15" s="161" t="s">
        <v>11</v>
      </c>
      <c r="C15" s="382">
        <v>0</v>
      </c>
      <c r="D15" s="382">
        <v>0</v>
      </c>
      <c r="E15" s="382">
        <v>0</v>
      </c>
      <c r="F15" s="382">
        <v>0</v>
      </c>
      <c r="G15" s="382">
        <v>0</v>
      </c>
      <c r="H15" s="382">
        <v>0</v>
      </c>
      <c r="I15" s="382">
        <v>0</v>
      </c>
      <c r="J15" s="382">
        <v>0</v>
      </c>
      <c r="K15" s="382">
        <v>1831676</v>
      </c>
      <c r="L15" s="382">
        <f t="shared" si="2"/>
        <v>1831676</v>
      </c>
      <c r="M15" s="382">
        <v>0</v>
      </c>
      <c r="N15" s="382">
        <f t="shared" si="1"/>
        <v>1831676</v>
      </c>
    </row>
    <row r="16" spans="1:14" s="185" customFormat="1" ht="18" customHeight="1">
      <c r="A16" s="161" t="s">
        <v>115</v>
      </c>
      <c r="B16" s="161" t="s">
        <v>192</v>
      </c>
      <c r="C16" s="382">
        <v>-5608625</v>
      </c>
      <c r="D16" s="382">
        <v>0</v>
      </c>
      <c r="E16" s="382">
        <v>159512</v>
      </c>
      <c r="F16" s="382">
        <v>0</v>
      </c>
      <c r="G16" s="382">
        <v>0</v>
      </c>
      <c r="H16" s="382">
        <v>0</v>
      </c>
      <c r="I16" s="382">
        <v>0</v>
      </c>
      <c r="J16" s="382">
        <v>0</v>
      </c>
      <c r="K16" s="382">
        <v>0</v>
      </c>
      <c r="L16" s="382">
        <f t="shared" si="2"/>
        <v>159512</v>
      </c>
      <c r="M16" s="382">
        <v>0</v>
      </c>
      <c r="N16" s="382">
        <f t="shared" si="1"/>
        <v>-5449113</v>
      </c>
    </row>
    <row r="17" spans="1:14" s="185" customFormat="1" ht="18" customHeight="1">
      <c r="A17" s="161" t="s">
        <v>116</v>
      </c>
      <c r="B17" s="161" t="s">
        <v>193</v>
      </c>
      <c r="C17" s="382">
        <v>0</v>
      </c>
      <c r="D17" s="382">
        <v>0</v>
      </c>
      <c r="E17" s="382">
        <v>0</v>
      </c>
      <c r="F17" s="382">
        <v>0</v>
      </c>
      <c r="G17" s="382">
        <v>0</v>
      </c>
      <c r="H17" s="382">
        <v>0</v>
      </c>
      <c r="I17" s="382">
        <v>0</v>
      </c>
      <c r="J17" s="382">
        <v>0</v>
      </c>
      <c r="K17" s="382">
        <v>0</v>
      </c>
      <c r="L17" s="382">
        <f t="shared" si="2"/>
        <v>0</v>
      </c>
      <c r="M17" s="382">
        <v>0</v>
      </c>
      <c r="N17" s="382">
        <f t="shared" si="1"/>
        <v>0</v>
      </c>
    </row>
    <row r="18" spans="1:14" s="185" customFormat="1" ht="18" customHeight="1">
      <c r="A18" s="161" t="s">
        <v>117</v>
      </c>
      <c r="B18" s="161" t="s">
        <v>194</v>
      </c>
      <c r="C18" s="382">
        <v>-49723399</v>
      </c>
      <c r="D18" s="382">
        <v>0</v>
      </c>
      <c r="E18" s="382">
        <v>0</v>
      </c>
      <c r="F18" s="382">
        <v>0</v>
      </c>
      <c r="G18" s="382">
        <v>0</v>
      </c>
      <c r="H18" s="382">
        <v>0</v>
      </c>
      <c r="I18" s="382">
        <v>0</v>
      </c>
      <c r="J18" s="382">
        <v>0</v>
      </c>
      <c r="K18" s="382">
        <v>0</v>
      </c>
      <c r="L18" s="382">
        <f t="shared" si="2"/>
        <v>0</v>
      </c>
      <c r="M18" s="382">
        <v>0</v>
      </c>
      <c r="N18" s="382">
        <f t="shared" si="1"/>
        <v>-49723399</v>
      </c>
    </row>
    <row r="19" spans="1:14" s="185" customFormat="1" ht="18" customHeight="1">
      <c r="A19" s="161" t="s">
        <v>118</v>
      </c>
      <c r="B19" s="161" t="s">
        <v>195</v>
      </c>
      <c r="C19" s="382">
        <v>-826831</v>
      </c>
      <c r="D19" s="382">
        <v>0</v>
      </c>
      <c r="E19" s="382">
        <v>0</v>
      </c>
      <c r="F19" s="382">
        <v>0</v>
      </c>
      <c r="G19" s="382">
        <v>0</v>
      </c>
      <c r="H19" s="382">
        <v>0</v>
      </c>
      <c r="I19" s="382">
        <v>0</v>
      </c>
      <c r="J19" s="382">
        <v>0</v>
      </c>
      <c r="K19" s="382">
        <v>0</v>
      </c>
      <c r="L19" s="382">
        <f t="shared" si="2"/>
        <v>0</v>
      </c>
      <c r="M19" s="382">
        <v>0</v>
      </c>
      <c r="N19" s="382">
        <f t="shared" si="1"/>
        <v>-826831</v>
      </c>
    </row>
    <row r="20" spans="1:14" s="185" customFormat="1" ht="18" customHeight="1">
      <c r="A20" s="161" t="s">
        <v>119</v>
      </c>
      <c r="B20" s="161" t="s">
        <v>196</v>
      </c>
      <c r="C20" s="382">
        <v>-332948</v>
      </c>
      <c r="D20" s="382">
        <v>0</v>
      </c>
      <c r="E20" s="382">
        <v>0</v>
      </c>
      <c r="F20" s="382">
        <v>0</v>
      </c>
      <c r="G20" s="382">
        <v>0</v>
      </c>
      <c r="H20" s="382">
        <v>0</v>
      </c>
      <c r="I20" s="382">
        <v>0</v>
      </c>
      <c r="J20" s="382">
        <v>0</v>
      </c>
      <c r="K20" s="382">
        <v>0</v>
      </c>
      <c r="L20" s="382">
        <f t="shared" si="2"/>
        <v>0</v>
      </c>
      <c r="M20" s="382">
        <v>0</v>
      </c>
      <c r="N20" s="382">
        <f t="shared" si="1"/>
        <v>-332948</v>
      </c>
    </row>
    <row r="21" spans="1:14" s="185" customFormat="1" ht="18" customHeight="1">
      <c r="A21" s="161" t="s">
        <v>120</v>
      </c>
      <c r="B21" s="161" t="s">
        <v>218</v>
      </c>
      <c r="C21" s="382">
        <v>0</v>
      </c>
      <c r="D21" s="382">
        <v>0</v>
      </c>
      <c r="E21" s="382">
        <v>0</v>
      </c>
      <c r="F21" s="382">
        <v>0</v>
      </c>
      <c r="G21" s="382">
        <v>0</v>
      </c>
      <c r="H21" s="382">
        <v>0</v>
      </c>
      <c r="I21" s="382">
        <v>0</v>
      </c>
      <c r="J21" s="382">
        <v>0</v>
      </c>
      <c r="K21" s="382">
        <v>0</v>
      </c>
      <c r="L21" s="382">
        <f t="shared" si="2"/>
        <v>0</v>
      </c>
      <c r="M21" s="382">
        <v>0</v>
      </c>
      <c r="N21" s="382">
        <f t="shared" si="1"/>
        <v>0</v>
      </c>
    </row>
    <row r="22" spans="1:14" s="185" customFormat="1" ht="18" customHeight="1">
      <c r="A22" s="562" t="s">
        <v>374</v>
      </c>
      <c r="B22" s="563"/>
      <c r="C22" s="383">
        <f t="shared" ref="C22:N22" si="3">SUM(C10:C21)</f>
        <v>-88274241</v>
      </c>
      <c r="D22" s="383">
        <f t="shared" si="3"/>
        <v>0</v>
      </c>
      <c r="E22" s="383">
        <f t="shared" si="3"/>
        <v>1421737</v>
      </c>
      <c r="F22" s="383">
        <f t="shared" si="3"/>
        <v>0</v>
      </c>
      <c r="G22" s="383">
        <f t="shared" si="3"/>
        <v>0</v>
      </c>
      <c r="H22" s="383">
        <f t="shared" si="3"/>
        <v>0</v>
      </c>
      <c r="I22" s="383">
        <f t="shared" si="3"/>
        <v>0</v>
      </c>
      <c r="J22" s="383">
        <f t="shared" ref="J22" si="4">SUM(J10:J21)</f>
        <v>0</v>
      </c>
      <c r="K22" s="383">
        <f t="shared" si="3"/>
        <v>1831676</v>
      </c>
      <c r="L22" s="383">
        <f>SUM(L10:L21)</f>
        <v>3253413</v>
      </c>
      <c r="M22" s="383">
        <f t="shared" si="3"/>
        <v>-35118</v>
      </c>
      <c r="N22" s="383">
        <f t="shared" si="3"/>
        <v>-85055946</v>
      </c>
    </row>
    <row r="23" spans="1:14" s="185" customFormat="1" ht="18" customHeight="1">
      <c r="A23" s="161" t="s">
        <v>30</v>
      </c>
      <c r="B23" s="161" t="s">
        <v>14</v>
      </c>
      <c r="C23" s="382">
        <v>0</v>
      </c>
      <c r="D23" s="382">
        <v>0</v>
      </c>
      <c r="E23" s="382">
        <v>0</v>
      </c>
      <c r="F23" s="382">
        <v>0</v>
      </c>
      <c r="G23" s="382">
        <v>0</v>
      </c>
      <c r="H23" s="382">
        <v>0</v>
      </c>
      <c r="I23" s="382">
        <v>0</v>
      </c>
      <c r="J23" s="382">
        <v>0</v>
      </c>
      <c r="K23" s="382">
        <v>0</v>
      </c>
      <c r="L23" s="382">
        <f t="shared" ref="L23:L28" si="5">SUM(E23:K23)</f>
        <v>0</v>
      </c>
      <c r="M23" s="382">
        <v>0</v>
      </c>
      <c r="N23" s="382">
        <f t="shared" ref="N23:N28" si="6">SUM(C23,D23,L23,M23)</f>
        <v>0</v>
      </c>
    </row>
    <row r="24" spans="1:14" s="185" customFormat="1" ht="18" customHeight="1">
      <c r="A24" s="161" t="s">
        <v>121</v>
      </c>
      <c r="B24" s="161" t="s">
        <v>15</v>
      </c>
      <c r="C24" s="382">
        <v>0</v>
      </c>
      <c r="D24" s="382">
        <v>0</v>
      </c>
      <c r="E24" s="382">
        <v>0</v>
      </c>
      <c r="F24" s="382">
        <v>0</v>
      </c>
      <c r="G24" s="382">
        <v>0</v>
      </c>
      <c r="H24" s="382">
        <v>0</v>
      </c>
      <c r="I24" s="382">
        <v>0</v>
      </c>
      <c r="J24" s="382">
        <v>0</v>
      </c>
      <c r="K24" s="382">
        <v>0</v>
      </c>
      <c r="L24" s="382">
        <f t="shared" si="5"/>
        <v>0</v>
      </c>
      <c r="M24" s="382">
        <v>0</v>
      </c>
      <c r="N24" s="382">
        <f t="shared" si="6"/>
        <v>0</v>
      </c>
    </row>
    <row r="25" spans="1:14" s="185" customFormat="1" ht="18" customHeight="1">
      <c r="A25" s="161" t="s">
        <v>122</v>
      </c>
      <c r="B25" s="161" t="s">
        <v>16</v>
      </c>
      <c r="C25" s="382">
        <v>0</v>
      </c>
      <c r="D25" s="382">
        <v>0</v>
      </c>
      <c r="E25" s="382">
        <v>0</v>
      </c>
      <c r="F25" s="382">
        <v>0</v>
      </c>
      <c r="G25" s="382">
        <v>0</v>
      </c>
      <c r="H25" s="382">
        <v>0</v>
      </c>
      <c r="I25" s="382">
        <v>0</v>
      </c>
      <c r="J25" s="382">
        <v>0</v>
      </c>
      <c r="K25" s="382">
        <v>0</v>
      </c>
      <c r="L25" s="382">
        <f t="shared" si="5"/>
        <v>0</v>
      </c>
      <c r="M25" s="382">
        <v>0</v>
      </c>
      <c r="N25" s="382">
        <f t="shared" si="6"/>
        <v>0</v>
      </c>
    </row>
    <row r="26" spans="1:14" s="185" customFormat="1" ht="18" customHeight="1">
      <c r="A26" s="161" t="s">
        <v>104</v>
      </c>
      <c r="B26" s="161" t="s">
        <v>17</v>
      </c>
      <c r="C26" s="382">
        <v>775</v>
      </c>
      <c r="D26" s="382">
        <v>0</v>
      </c>
      <c r="E26" s="382">
        <v>0</v>
      </c>
      <c r="F26" s="382">
        <v>0</v>
      </c>
      <c r="G26" s="382">
        <v>0</v>
      </c>
      <c r="H26" s="382">
        <v>0</v>
      </c>
      <c r="I26" s="382">
        <v>0</v>
      </c>
      <c r="J26" s="382">
        <v>0</v>
      </c>
      <c r="K26" s="382">
        <v>0</v>
      </c>
      <c r="L26" s="382">
        <f t="shared" si="5"/>
        <v>0</v>
      </c>
      <c r="M26" s="382">
        <v>0</v>
      </c>
      <c r="N26" s="382">
        <f t="shared" si="6"/>
        <v>775</v>
      </c>
    </row>
    <row r="27" spans="1:14" s="185" customFormat="1" ht="18" customHeight="1">
      <c r="A27" s="161" t="s">
        <v>105</v>
      </c>
      <c r="B27" s="161" t="s">
        <v>158</v>
      </c>
      <c r="C27" s="382">
        <v>359124</v>
      </c>
      <c r="D27" s="382">
        <v>0</v>
      </c>
      <c r="E27" s="382">
        <v>0</v>
      </c>
      <c r="F27" s="382">
        <v>0</v>
      </c>
      <c r="G27" s="382">
        <v>0</v>
      </c>
      <c r="H27" s="382">
        <v>0</v>
      </c>
      <c r="I27" s="382">
        <v>0</v>
      </c>
      <c r="J27" s="382">
        <v>248624</v>
      </c>
      <c r="K27" s="382">
        <v>0</v>
      </c>
      <c r="L27" s="382">
        <f t="shared" si="5"/>
        <v>248624</v>
      </c>
      <c r="M27" s="382">
        <v>0</v>
      </c>
      <c r="N27" s="382">
        <f t="shared" si="6"/>
        <v>607748</v>
      </c>
    </row>
    <row r="28" spans="1:14" s="185" customFormat="1" ht="18" customHeight="1">
      <c r="A28" s="161" t="s">
        <v>123</v>
      </c>
      <c r="B28" s="161" t="s">
        <v>159</v>
      </c>
      <c r="C28" s="382">
        <v>-297775</v>
      </c>
      <c r="D28" s="382">
        <v>0</v>
      </c>
      <c r="E28" s="382">
        <v>0</v>
      </c>
      <c r="F28" s="382">
        <v>0</v>
      </c>
      <c r="G28" s="382">
        <v>0</v>
      </c>
      <c r="H28" s="382">
        <v>0</v>
      </c>
      <c r="I28" s="382">
        <v>0</v>
      </c>
      <c r="J28" s="382">
        <v>-193895</v>
      </c>
      <c r="K28" s="382">
        <v>0</v>
      </c>
      <c r="L28" s="382">
        <f t="shared" si="5"/>
        <v>-193895</v>
      </c>
      <c r="M28" s="382">
        <v>0</v>
      </c>
      <c r="N28" s="382">
        <f t="shared" si="6"/>
        <v>-491670</v>
      </c>
    </row>
    <row r="29" spans="1:14" s="185" customFormat="1" ht="18" customHeight="1">
      <c r="A29" s="562" t="s">
        <v>375</v>
      </c>
      <c r="B29" s="563"/>
      <c r="C29" s="383">
        <f>SUM(C23:C28)</f>
        <v>62124</v>
      </c>
      <c r="D29" s="383">
        <f t="shared" ref="D29:N29" si="7">SUM(D23:D28)</f>
        <v>0</v>
      </c>
      <c r="E29" s="383">
        <f t="shared" si="7"/>
        <v>0</v>
      </c>
      <c r="F29" s="383">
        <f t="shared" si="7"/>
        <v>0</v>
      </c>
      <c r="G29" s="383">
        <f t="shared" si="7"/>
        <v>0</v>
      </c>
      <c r="H29" s="383">
        <f t="shared" si="7"/>
        <v>0</v>
      </c>
      <c r="I29" s="383">
        <f t="shared" si="7"/>
        <v>0</v>
      </c>
      <c r="J29" s="383">
        <f t="shared" ref="J29" si="8">SUM(J23:J28)</f>
        <v>54729</v>
      </c>
      <c r="K29" s="383">
        <f t="shared" si="7"/>
        <v>0</v>
      </c>
      <c r="L29" s="383">
        <f t="shared" si="7"/>
        <v>54729</v>
      </c>
      <c r="M29" s="383">
        <f t="shared" si="7"/>
        <v>0</v>
      </c>
      <c r="N29" s="383">
        <f t="shared" si="7"/>
        <v>116853</v>
      </c>
    </row>
    <row r="30" spans="1:14" s="185" customFormat="1" ht="18" customHeight="1">
      <c r="A30" s="161" t="s">
        <v>106</v>
      </c>
      <c r="B30" s="161" t="s">
        <v>18</v>
      </c>
      <c r="C30" s="382">
        <v>42898</v>
      </c>
      <c r="D30" s="382">
        <v>0</v>
      </c>
      <c r="E30" s="382">
        <v>0</v>
      </c>
      <c r="F30" s="382">
        <v>0</v>
      </c>
      <c r="G30" s="382">
        <v>0</v>
      </c>
      <c r="H30" s="382">
        <v>0</v>
      </c>
      <c r="I30" s="382">
        <v>0</v>
      </c>
      <c r="J30" s="382">
        <v>0</v>
      </c>
      <c r="K30" s="382">
        <v>0</v>
      </c>
      <c r="L30" s="382">
        <f>SUM(E30:K30)</f>
        <v>0</v>
      </c>
      <c r="M30" s="382">
        <v>0</v>
      </c>
      <c r="N30" s="382">
        <f t="shared" ref="N30:N39" si="9">SUM(C30,D30,L30,M30)</f>
        <v>42898</v>
      </c>
    </row>
    <row r="31" spans="1:14" s="185" customFormat="1" ht="18" customHeight="1">
      <c r="A31" s="161" t="s">
        <v>107</v>
      </c>
      <c r="B31" s="161" t="s">
        <v>124</v>
      </c>
      <c r="C31" s="382">
        <v>221948</v>
      </c>
      <c r="D31" s="382">
        <v>0</v>
      </c>
      <c r="E31" s="382">
        <v>0</v>
      </c>
      <c r="F31" s="382">
        <v>0</v>
      </c>
      <c r="G31" s="382">
        <v>0</v>
      </c>
      <c r="H31" s="382">
        <v>0</v>
      </c>
      <c r="I31" s="382">
        <v>0</v>
      </c>
      <c r="J31" s="382">
        <v>0</v>
      </c>
      <c r="K31" s="382">
        <v>0</v>
      </c>
      <c r="L31" s="382">
        <f>SUM(E31:K31)</f>
        <v>0</v>
      </c>
      <c r="M31" s="382">
        <v>0</v>
      </c>
      <c r="N31" s="382">
        <f t="shared" si="9"/>
        <v>221948</v>
      </c>
    </row>
    <row r="32" spans="1:14" s="185" customFormat="1" ht="18" customHeight="1">
      <c r="A32" s="161" t="s">
        <v>108</v>
      </c>
      <c r="B32" s="151" t="s">
        <v>198</v>
      </c>
      <c r="C32" s="382">
        <v>355944</v>
      </c>
      <c r="D32" s="382">
        <v>0</v>
      </c>
      <c r="E32" s="382">
        <v>0</v>
      </c>
      <c r="F32" s="382">
        <v>0</v>
      </c>
      <c r="G32" s="382">
        <v>0</v>
      </c>
      <c r="H32" s="382">
        <v>0</v>
      </c>
      <c r="I32" s="382">
        <v>0</v>
      </c>
      <c r="J32" s="382">
        <v>0</v>
      </c>
      <c r="K32" s="382">
        <v>0</v>
      </c>
      <c r="L32" s="382">
        <f>SUM(E32:K32)</f>
        <v>0</v>
      </c>
      <c r="M32" s="382">
        <v>0</v>
      </c>
      <c r="N32" s="382">
        <f t="shared" si="9"/>
        <v>355944</v>
      </c>
    </row>
    <row r="33" spans="1:14" s="384" customFormat="1" ht="18" customHeight="1">
      <c r="A33" s="562" t="s">
        <v>376</v>
      </c>
      <c r="B33" s="563"/>
      <c r="C33" s="383">
        <f>SUM(C30:C32)</f>
        <v>620790</v>
      </c>
      <c r="D33" s="383">
        <f t="shared" ref="D33:N33" si="10">SUM(D30:D32)</f>
        <v>0</v>
      </c>
      <c r="E33" s="383">
        <f t="shared" si="10"/>
        <v>0</v>
      </c>
      <c r="F33" s="383">
        <f t="shared" si="10"/>
        <v>0</v>
      </c>
      <c r="G33" s="383">
        <f t="shared" si="10"/>
        <v>0</v>
      </c>
      <c r="H33" s="383">
        <f t="shared" si="10"/>
        <v>0</v>
      </c>
      <c r="I33" s="383">
        <f t="shared" si="10"/>
        <v>0</v>
      </c>
      <c r="J33" s="383">
        <f t="shared" ref="J33" si="11">SUM(J30:J32)</f>
        <v>0</v>
      </c>
      <c r="K33" s="383">
        <f t="shared" si="10"/>
        <v>0</v>
      </c>
      <c r="L33" s="383">
        <f t="shared" si="10"/>
        <v>0</v>
      </c>
      <c r="M33" s="383">
        <f t="shared" si="10"/>
        <v>0</v>
      </c>
      <c r="N33" s="383">
        <f t="shared" si="10"/>
        <v>620790</v>
      </c>
    </row>
    <row r="34" spans="1:14" s="384" customFormat="1" ht="18" customHeight="1">
      <c r="A34" s="175" t="s">
        <v>109</v>
      </c>
      <c r="B34" s="385" t="s">
        <v>19</v>
      </c>
      <c r="C34" s="382">
        <v>-245590</v>
      </c>
      <c r="D34" s="382">
        <v>0</v>
      </c>
      <c r="E34" s="382">
        <v>0</v>
      </c>
      <c r="F34" s="382">
        <v>0</v>
      </c>
      <c r="G34" s="382">
        <v>0</v>
      </c>
      <c r="H34" s="382">
        <v>0</v>
      </c>
      <c r="I34" s="382">
        <v>0</v>
      </c>
      <c r="J34" s="382">
        <v>0</v>
      </c>
      <c r="K34" s="382">
        <v>0</v>
      </c>
      <c r="L34" s="382">
        <f>SUM(E34:K34)</f>
        <v>0</v>
      </c>
      <c r="M34" s="382">
        <v>1658</v>
      </c>
      <c r="N34" s="382">
        <f t="shared" si="9"/>
        <v>-243932</v>
      </c>
    </row>
    <row r="35" spans="1:14" s="384" customFormat="1" ht="18" customHeight="1">
      <c r="A35" s="562" t="s">
        <v>377</v>
      </c>
      <c r="B35" s="563"/>
      <c r="C35" s="383">
        <f>C34</f>
        <v>-245590</v>
      </c>
      <c r="D35" s="383">
        <f t="shared" ref="D35:N35" si="12">D34</f>
        <v>0</v>
      </c>
      <c r="E35" s="383">
        <f t="shared" si="12"/>
        <v>0</v>
      </c>
      <c r="F35" s="383">
        <f t="shared" si="12"/>
        <v>0</v>
      </c>
      <c r="G35" s="383">
        <f t="shared" si="12"/>
        <v>0</v>
      </c>
      <c r="H35" s="383">
        <f t="shared" si="12"/>
        <v>0</v>
      </c>
      <c r="I35" s="383">
        <f t="shared" si="12"/>
        <v>0</v>
      </c>
      <c r="J35" s="383">
        <f t="shared" ref="J35" si="13">J34</f>
        <v>0</v>
      </c>
      <c r="K35" s="383">
        <f t="shared" si="12"/>
        <v>0</v>
      </c>
      <c r="L35" s="383">
        <f t="shared" si="12"/>
        <v>0</v>
      </c>
      <c r="M35" s="383">
        <f t="shared" si="12"/>
        <v>1658</v>
      </c>
      <c r="N35" s="383">
        <f t="shared" si="12"/>
        <v>-243932</v>
      </c>
    </row>
    <row r="36" spans="1:14" s="185" customFormat="1" ht="18" customHeight="1">
      <c r="A36" s="160" t="s">
        <v>110</v>
      </c>
      <c r="B36" s="163" t="s">
        <v>20</v>
      </c>
      <c r="C36" s="382">
        <v>2383658</v>
      </c>
      <c r="D36" s="382">
        <v>0</v>
      </c>
      <c r="E36" s="382">
        <v>0</v>
      </c>
      <c r="F36" s="382">
        <v>0</v>
      </c>
      <c r="G36" s="382">
        <v>0</v>
      </c>
      <c r="H36" s="382">
        <v>0</v>
      </c>
      <c r="I36" s="382">
        <v>0</v>
      </c>
      <c r="J36" s="382">
        <v>0</v>
      </c>
      <c r="K36" s="382">
        <v>0</v>
      </c>
      <c r="L36" s="382">
        <f>SUM(E36:K36)</f>
        <v>0</v>
      </c>
      <c r="M36" s="382">
        <v>0</v>
      </c>
      <c r="N36" s="382">
        <f t="shared" si="9"/>
        <v>2383658</v>
      </c>
    </row>
    <row r="37" spans="1:14" s="185" customFormat="1" ht="18" customHeight="1">
      <c r="A37" s="160" t="s">
        <v>111</v>
      </c>
      <c r="B37" s="163" t="s">
        <v>21</v>
      </c>
      <c r="C37" s="382">
        <v>241013</v>
      </c>
      <c r="D37" s="382">
        <v>0</v>
      </c>
      <c r="E37" s="382">
        <v>0</v>
      </c>
      <c r="F37" s="382">
        <v>0</v>
      </c>
      <c r="G37" s="382">
        <v>0</v>
      </c>
      <c r="H37" s="382">
        <v>0</v>
      </c>
      <c r="I37" s="382">
        <v>0</v>
      </c>
      <c r="J37" s="382">
        <v>0</v>
      </c>
      <c r="K37" s="382">
        <v>4</v>
      </c>
      <c r="L37" s="382">
        <f>SUM(E37:K37)</f>
        <v>4</v>
      </c>
      <c r="M37" s="382">
        <v>3120</v>
      </c>
      <c r="N37" s="382">
        <f t="shared" si="9"/>
        <v>244137</v>
      </c>
    </row>
    <row r="38" spans="1:14" s="185" customFormat="1" ht="18" customHeight="1">
      <c r="A38" s="160" t="s">
        <v>112</v>
      </c>
      <c r="B38" s="163" t="s">
        <v>22</v>
      </c>
      <c r="C38" s="382">
        <v>0</v>
      </c>
      <c r="D38" s="382">
        <v>0</v>
      </c>
      <c r="E38" s="382">
        <v>0</v>
      </c>
      <c r="F38" s="382">
        <v>0</v>
      </c>
      <c r="G38" s="382">
        <v>0</v>
      </c>
      <c r="H38" s="382">
        <v>0</v>
      </c>
      <c r="I38" s="382">
        <v>0</v>
      </c>
      <c r="J38" s="382">
        <v>0</v>
      </c>
      <c r="K38" s="382">
        <v>0</v>
      </c>
      <c r="L38" s="382">
        <f>SUM(E38:K38)</f>
        <v>0</v>
      </c>
      <c r="M38" s="382">
        <v>0</v>
      </c>
      <c r="N38" s="382">
        <f t="shared" si="9"/>
        <v>0</v>
      </c>
    </row>
    <row r="39" spans="1:14" s="185" customFormat="1" ht="18" customHeight="1">
      <c r="A39" s="160" t="s">
        <v>113</v>
      </c>
      <c r="B39" s="163" t="s">
        <v>23</v>
      </c>
      <c r="C39" s="382">
        <v>2956750</v>
      </c>
      <c r="D39" s="382">
        <v>0</v>
      </c>
      <c r="E39" s="382">
        <v>0</v>
      </c>
      <c r="F39" s="382">
        <v>0</v>
      </c>
      <c r="G39" s="382">
        <v>0</v>
      </c>
      <c r="H39" s="382">
        <v>0</v>
      </c>
      <c r="I39" s="382">
        <v>0</v>
      </c>
      <c r="J39" s="382">
        <v>0</v>
      </c>
      <c r="K39" s="382">
        <v>0</v>
      </c>
      <c r="L39" s="382">
        <f>SUM(E39:K39)</f>
        <v>0</v>
      </c>
      <c r="M39" s="382">
        <v>0</v>
      </c>
      <c r="N39" s="382">
        <f t="shared" si="9"/>
        <v>2956750</v>
      </c>
    </row>
    <row r="40" spans="1:14" s="384" customFormat="1" ht="18" customHeight="1">
      <c r="A40" s="562" t="s">
        <v>378</v>
      </c>
      <c r="B40" s="563"/>
      <c r="C40" s="383">
        <f t="shared" ref="C40:N40" si="14">SUM(C36:C39)</f>
        <v>5581421</v>
      </c>
      <c r="D40" s="383">
        <f t="shared" si="14"/>
        <v>0</v>
      </c>
      <c r="E40" s="383">
        <f t="shared" si="14"/>
        <v>0</v>
      </c>
      <c r="F40" s="383">
        <f t="shared" si="14"/>
        <v>0</v>
      </c>
      <c r="G40" s="383">
        <f t="shared" si="14"/>
        <v>0</v>
      </c>
      <c r="H40" s="383">
        <f t="shared" si="14"/>
        <v>0</v>
      </c>
      <c r="I40" s="383">
        <f t="shared" si="14"/>
        <v>0</v>
      </c>
      <c r="J40" s="383">
        <f t="shared" ref="J40" si="15">SUM(J36:J39)</f>
        <v>0</v>
      </c>
      <c r="K40" s="383">
        <f t="shared" si="14"/>
        <v>4</v>
      </c>
      <c r="L40" s="383">
        <f t="shared" si="14"/>
        <v>4</v>
      </c>
      <c r="M40" s="383">
        <f t="shared" si="14"/>
        <v>3120</v>
      </c>
      <c r="N40" s="383">
        <f t="shared" si="14"/>
        <v>5584545</v>
      </c>
    </row>
    <row r="41" spans="1:14" s="185" customFormat="1" ht="18" customHeight="1">
      <c r="A41" s="386" t="s">
        <v>199</v>
      </c>
      <c r="B41" s="161" t="s">
        <v>125</v>
      </c>
      <c r="C41" s="382">
        <v>19664847</v>
      </c>
      <c r="D41" s="382">
        <v>0</v>
      </c>
      <c r="E41" s="382">
        <v>1677851</v>
      </c>
      <c r="F41" s="382">
        <v>0</v>
      </c>
      <c r="G41" s="382">
        <v>0</v>
      </c>
      <c r="H41" s="382">
        <v>0</v>
      </c>
      <c r="I41" s="382">
        <v>0</v>
      </c>
      <c r="J41" s="382">
        <v>0</v>
      </c>
      <c r="K41" s="382">
        <v>0</v>
      </c>
      <c r="L41" s="382">
        <f>SUM(E41:K41)</f>
        <v>1677851</v>
      </c>
      <c r="M41" s="382">
        <v>0</v>
      </c>
      <c r="N41" s="382">
        <f>SUM(C41,D41,L41,M41)</f>
        <v>21342698</v>
      </c>
    </row>
    <row r="42" spans="1:14" s="384" customFormat="1" ht="18" customHeight="1">
      <c r="A42" s="562" t="s">
        <v>379</v>
      </c>
      <c r="B42" s="563"/>
      <c r="C42" s="383">
        <f t="shared" ref="C42:N42" si="16">SUM(C41)</f>
        <v>19664847</v>
      </c>
      <c r="D42" s="383">
        <f t="shared" si="16"/>
        <v>0</v>
      </c>
      <c r="E42" s="383">
        <f t="shared" si="16"/>
        <v>1677851</v>
      </c>
      <c r="F42" s="383">
        <f t="shared" si="16"/>
        <v>0</v>
      </c>
      <c r="G42" s="383">
        <f t="shared" si="16"/>
        <v>0</v>
      </c>
      <c r="H42" s="383">
        <f t="shared" si="16"/>
        <v>0</v>
      </c>
      <c r="I42" s="383">
        <f t="shared" si="16"/>
        <v>0</v>
      </c>
      <c r="J42" s="383">
        <f t="shared" si="16"/>
        <v>0</v>
      </c>
      <c r="K42" s="383">
        <f t="shared" si="16"/>
        <v>0</v>
      </c>
      <c r="L42" s="383">
        <f t="shared" si="16"/>
        <v>1677851</v>
      </c>
      <c r="M42" s="383">
        <f t="shared" si="16"/>
        <v>0</v>
      </c>
      <c r="N42" s="383">
        <f t="shared" si="16"/>
        <v>21342698</v>
      </c>
    </row>
    <row r="43" spans="1:14" s="384" customFormat="1" ht="6.75" customHeight="1">
      <c r="A43" s="173"/>
      <c r="B43" s="173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</row>
    <row r="44" spans="1:14" s="384" customFormat="1" ht="18" customHeight="1" thickBot="1">
      <c r="A44" s="388" t="s">
        <v>380</v>
      </c>
      <c r="B44" s="388"/>
      <c r="C44" s="389">
        <f t="shared" ref="C44:N44" si="17">SUM(C40,C35,C33,C29,C22,C9,C42)</f>
        <v>-63265483</v>
      </c>
      <c r="D44" s="389">
        <f t="shared" si="17"/>
        <v>0</v>
      </c>
      <c r="E44" s="389">
        <f t="shared" si="17"/>
        <v>3099588</v>
      </c>
      <c r="F44" s="389">
        <f t="shared" si="17"/>
        <v>0</v>
      </c>
      <c r="G44" s="389">
        <f t="shared" si="17"/>
        <v>0</v>
      </c>
      <c r="H44" s="389">
        <f t="shared" si="17"/>
        <v>0</v>
      </c>
      <c r="I44" s="389">
        <f t="shared" si="17"/>
        <v>0</v>
      </c>
      <c r="J44" s="389">
        <f t="shared" si="17"/>
        <v>54729</v>
      </c>
      <c r="K44" s="389">
        <f t="shared" si="17"/>
        <v>1831680</v>
      </c>
      <c r="L44" s="389">
        <f t="shared" si="17"/>
        <v>4985997</v>
      </c>
      <c r="M44" s="389">
        <f t="shared" si="17"/>
        <v>-30340</v>
      </c>
      <c r="N44" s="389">
        <f t="shared" si="17"/>
        <v>-58309826</v>
      </c>
    </row>
    <row r="45" spans="1:14" ht="16.5" thickTop="1">
      <c r="A45" s="390" t="s">
        <v>148</v>
      </c>
      <c r="B45" s="373"/>
    </row>
    <row r="46" spans="1:14">
      <c r="A46" s="373"/>
      <c r="B46" s="373"/>
    </row>
    <row r="47" spans="1:14">
      <c r="A47" s="373"/>
      <c r="B47" s="373"/>
    </row>
    <row r="48" spans="1:14">
      <c r="A48" s="373"/>
      <c r="B48" s="373"/>
    </row>
    <row r="49" spans="1:13">
      <c r="A49" s="373"/>
      <c r="B49" s="373"/>
    </row>
    <row r="50" spans="1:13">
      <c r="A50" s="373"/>
      <c r="B50" s="373"/>
    </row>
    <row r="51" spans="1:13">
      <c r="A51" s="373"/>
      <c r="B51" s="373"/>
    </row>
    <row r="52" spans="1:13">
      <c r="A52" s="373"/>
      <c r="B52" s="373"/>
    </row>
    <row r="57" spans="1:13">
      <c r="M57" s="217"/>
    </row>
  </sheetData>
  <mergeCells count="8">
    <mergeCell ref="E5:L5"/>
    <mergeCell ref="A9:B9"/>
    <mergeCell ref="A35:B35"/>
    <mergeCell ref="A42:B42"/>
    <mergeCell ref="A40:B40"/>
    <mergeCell ref="A22:B22"/>
    <mergeCell ref="A33:B33"/>
    <mergeCell ref="A29:B29"/>
  </mergeCells>
  <phoneticPr fontId="19" type="noConversion"/>
  <printOptions horizontalCentered="1"/>
  <pageMargins left="0.19" right="0.17" top="0.5" bottom="0.61" header="0.5" footer="0.39"/>
  <pageSetup scale="54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U33"/>
  <sheetViews>
    <sheetView topLeftCell="A4" zoomScale="85" zoomScaleNormal="85" zoomScaleSheetLayoutView="85" workbookViewId="0">
      <selection activeCell="H23" sqref="H23"/>
    </sheetView>
  </sheetViews>
  <sheetFormatPr defaultColWidth="9.140625" defaultRowHeight="12.75"/>
  <cols>
    <col min="1" max="1" width="76.140625" style="461" bestFit="1" customWidth="1"/>
    <col min="2" max="2" width="11.28515625" style="461" hidden="1" customWidth="1"/>
    <col min="3" max="3" width="11.85546875" style="461" hidden="1" customWidth="1"/>
    <col min="4" max="5" width="12.140625" style="461" hidden="1" customWidth="1"/>
    <col min="6" max="7" width="11.85546875" style="461" hidden="1" customWidth="1"/>
    <col min="8" max="8" width="12.42578125" style="461" customWidth="1"/>
    <col min="9" max="9" width="12.140625" style="461" hidden="1" customWidth="1"/>
    <col min="10" max="10" width="12.5703125" style="461" hidden="1" customWidth="1"/>
    <col min="11" max="11" width="12.140625" style="461" hidden="1" customWidth="1"/>
    <col min="12" max="12" width="11.42578125" style="461" hidden="1" customWidth="1"/>
    <col min="13" max="13" width="12.42578125" style="461" hidden="1" customWidth="1"/>
    <col min="14" max="14" width="16.7109375" style="461" bestFit="1" customWidth="1"/>
    <col min="15" max="15" width="30.7109375" style="461" customWidth="1"/>
    <col min="16" max="16" width="11" style="461" hidden="1" customWidth="1"/>
    <col min="17" max="17" width="18.140625" style="461" hidden="1" customWidth="1"/>
    <col min="18" max="18" width="18" style="461" hidden="1" customWidth="1"/>
    <col min="19" max="19" width="10.28515625" style="461" hidden="1" customWidth="1"/>
    <col min="20" max="20" width="11" style="461" hidden="1" customWidth="1"/>
    <col min="21" max="21" width="30.7109375" style="461" hidden="1" customWidth="1"/>
    <col min="22" max="24" width="0" style="461" hidden="1" customWidth="1"/>
    <col min="25" max="256" width="9.140625" style="461"/>
    <col min="257" max="257" width="56.140625" style="461" customWidth="1"/>
    <col min="258" max="258" width="9.5703125" style="461" customWidth="1"/>
    <col min="259" max="269" width="0" style="461" hidden="1" customWidth="1"/>
    <col min="270" max="270" width="14.7109375" style="461" bestFit="1" customWidth="1"/>
    <col min="271" max="276" width="0" style="461" hidden="1" customWidth="1"/>
    <col min="277" max="277" width="30.7109375" style="461" customWidth="1"/>
    <col min="278" max="512" width="9.140625" style="461"/>
    <col min="513" max="513" width="56.140625" style="461" customWidth="1"/>
    <col min="514" max="514" width="9.5703125" style="461" customWidth="1"/>
    <col min="515" max="525" width="0" style="461" hidden="1" customWidth="1"/>
    <col min="526" max="526" width="14.7109375" style="461" bestFit="1" customWidth="1"/>
    <col min="527" max="532" width="0" style="461" hidden="1" customWidth="1"/>
    <col min="533" max="533" width="30.7109375" style="461" customWidth="1"/>
    <col min="534" max="768" width="9.140625" style="461"/>
    <col min="769" max="769" width="56.140625" style="461" customWidth="1"/>
    <col min="770" max="770" width="9.5703125" style="461" customWidth="1"/>
    <col min="771" max="781" width="0" style="461" hidden="1" customWidth="1"/>
    <col min="782" max="782" width="14.7109375" style="461" bestFit="1" customWidth="1"/>
    <col min="783" max="788" width="0" style="461" hidden="1" customWidth="1"/>
    <col min="789" max="789" width="30.7109375" style="461" customWidth="1"/>
    <col min="790" max="1024" width="9.140625" style="461"/>
    <col min="1025" max="1025" width="56.140625" style="461" customWidth="1"/>
    <col min="1026" max="1026" width="9.5703125" style="461" customWidth="1"/>
    <col min="1027" max="1037" width="0" style="461" hidden="1" customWidth="1"/>
    <col min="1038" max="1038" width="14.7109375" style="461" bestFit="1" customWidth="1"/>
    <col min="1039" max="1044" width="0" style="461" hidden="1" customWidth="1"/>
    <col min="1045" max="1045" width="30.7109375" style="461" customWidth="1"/>
    <col min="1046" max="1280" width="9.140625" style="461"/>
    <col min="1281" max="1281" width="56.140625" style="461" customWidth="1"/>
    <col min="1282" max="1282" width="9.5703125" style="461" customWidth="1"/>
    <col min="1283" max="1293" width="0" style="461" hidden="1" customWidth="1"/>
    <col min="1294" max="1294" width="14.7109375" style="461" bestFit="1" customWidth="1"/>
    <col min="1295" max="1300" width="0" style="461" hidden="1" customWidth="1"/>
    <col min="1301" max="1301" width="30.7109375" style="461" customWidth="1"/>
    <col min="1302" max="1536" width="9.140625" style="461"/>
    <col min="1537" max="1537" width="56.140625" style="461" customWidth="1"/>
    <col min="1538" max="1538" width="9.5703125" style="461" customWidth="1"/>
    <col min="1539" max="1549" width="0" style="461" hidden="1" customWidth="1"/>
    <col min="1550" max="1550" width="14.7109375" style="461" bestFit="1" customWidth="1"/>
    <col min="1551" max="1556" width="0" style="461" hidden="1" customWidth="1"/>
    <col min="1557" max="1557" width="30.7109375" style="461" customWidth="1"/>
    <col min="1558" max="1792" width="9.140625" style="461"/>
    <col min="1793" max="1793" width="56.140625" style="461" customWidth="1"/>
    <col min="1794" max="1794" width="9.5703125" style="461" customWidth="1"/>
    <col min="1795" max="1805" width="0" style="461" hidden="1" customWidth="1"/>
    <col min="1806" max="1806" width="14.7109375" style="461" bestFit="1" customWidth="1"/>
    <col min="1807" max="1812" width="0" style="461" hidden="1" customWidth="1"/>
    <col min="1813" max="1813" width="30.7109375" style="461" customWidth="1"/>
    <col min="1814" max="2048" width="9.140625" style="461"/>
    <col min="2049" max="2049" width="56.140625" style="461" customWidth="1"/>
    <col min="2050" max="2050" width="9.5703125" style="461" customWidth="1"/>
    <col min="2051" max="2061" width="0" style="461" hidden="1" customWidth="1"/>
    <col min="2062" max="2062" width="14.7109375" style="461" bestFit="1" customWidth="1"/>
    <col min="2063" max="2068" width="0" style="461" hidden="1" customWidth="1"/>
    <col min="2069" max="2069" width="30.7109375" style="461" customWidth="1"/>
    <col min="2070" max="2304" width="9.140625" style="461"/>
    <col min="2305" max="2305" width="56.140625" style="461" customWidth="1"/>
    <col min="2306" max="2306" width="9.5703125" style="461" customWidth="1"/>
    <col min="2307" max="2317" width="0" style="461" hidden="1" customWidth="1"/>
    <col min="2318" max="2318" width="14.7109375" style="461" bestFit="1" customWidth="1"/>
    <col min="2319" max="2324" width="0" style="461" hidden="1" customWidth="1"/>
    <col min="2325" max="2325" width="30.7109375" style="461" customWidth="1"/>
    <col min="2326" max="2560" width="9.140625" style="461"/>
    <col min="2561" max="2561" width="56.140625" style="461" customWidth="1"/>
    <col min="2562" max="2562" width="9.5703125" style="461" customWidth="1"/>
    <col min="2563" max="2573" width="0" style="461" hidden="1" customWidth="1"/>
    <col min="2574" max="2574" width="14.7109375" style="461" bestFit="1" customWidth="1"/>
    <col min="2575" max="2580" width="0" style="461" hidden="1" customWidth="1"/>
    <col min="2581" max="2581" width="30.7109375" style="461" customWidth="1"/>
    <col min="2582" max="2816" width="9.140625" style="461"/>
    <col min="2817" max="2817" width="56.140625" style="461" customWidth="1"/>
    <col min="2818" max="2818" width="9.5703125" style="461" customWidth="1"/>
    <col min="2819" max="2829" width="0" style="461" hidden="1" customWidth="1"/>
    <col min="2830" max="2830" width="14.7109375" style="461" bestFit="1" customWidth="1"/>
    <col min="2831" max="2836" width="0" style="461" hidden="1" customWidth="1"/>
    <col min="2837" max="2837" width="30.7109375" style="461" customWidth="1"/>
    <col min="2838" max="3072" width="9.140625" style="461"/>
    <col min="3073" max="3073" width="56.140625" style="461" customWidth="1"/>
    <col min="3074" max="3074" width="9.5703125" style="461" customWidth="1"/>
    <col min="3075" max="3085" width="0" style="461" hidden="1" customWidth="1"/>
    <col min="3086" max="3086" width="14.7109375" style="461" bestFit="1" customWidth="1"/>
    <col min="3087" max="3092" width="0" style="461" hidden="1" customWidth="1"/>
    <col min="3093" max="3093" width="30.7109375" style="461" customWidth="1"/>
    <col min="3094" max="3328" width="9.140625" style="461"/>
    <col min="3329" max="3329" width="56.140625" style="461" customWidth="1"/>
    <col min="3330" max="3330" width="9.5703125" style="461" customWidth="1"/>
    <col min="3331" max="3341" width="0" style="461" hidden="1" customWidth="1"/>
    <col min="3342" max="3342" width="14.7109375" style="461" bestFit="1" customWidth="1"/>
    <col min="3343" max="3348" width="0" style="461" hidden="1" customWidth="1"/>
    <col min="3349" max="3349" width="30.7109375" style="461" customWidth="1"/>
    <col min="3350" max="3584" width="9.140625" style="461"/>
    <col min="3585" max="3585" width="56.140625" style="461" customWidth="1"/>
    <col min="3586" max="3586" width="9.5703125" style="461" customWidth="1"/>
    <col min="3587" max="3597" width="0" style="461" hidden="1" customWidth="1"/>
    <col min="3598" max="3598" width="14.7109375" style="461" bestFit="1" customWidth="1"/>
    <col min="3599" max="3604" width="0" style="461" hidden="1" customWidth="1"/>
    <col min="3605" max="3605" width="30.7109375" style="461" customWidth="1"/>
    <col min="3606" max="3840" width="9.140625" style="461"/>
    <col min="3841" max="3841" width="56.140625" style="461" customWidth="1"/>
    <col min="3842" max="3842" width="9.5703125" style="461" customWidth="1"/>
    <col min="3843" max="3853" width="0" style="461" hidden="1" customWidth="1"/>
    <col min="3854" max="3854" width="14.7109375" style="461" bestFit="1" customWidth="1"/>
    <col min="3855" max="3860" width="0" style="461" hidden="1" customWidth="1"/>
    <col min="3861" max="3861" width="30.7109375" style="461" customWidth="1"/>
    <col min="3862" max="4096" width="9.140625" style="461"/>
    <col min="4097" max="4097" width="56.140625" style="461" customWidth="1"/>
    <col min="4098" max="4098" width="9.5703125" style="461" customWidth="1"/>
    <col min="4099" max="4109" width="0" style="461" hidden="1" customWidth="1"/>
    <col min="4110" max="4110" width="14.7109375" style="461" bestFit="1" customWidth="1"/>
    <col min="4111" max="4116" width="0" style="461" hidden="1" customWidth="1"/>
    <col min="4117" max="4117" width="30.7109375" style="461" customWidth="1"/>
    <col min="4118" max="4352" width="9.140625" style="461"/>
    <col min="4353" max="4353" width="56.140625" style="461" customWidth="1"/>
    <col min="4354" max="4354" width="9.5703125" style="461" customWidth="1"/>
    <col min="4355" max="4365" width="0" style="461" hidden="1" customWidth="1"/>
    <col min="4366" max="4366" width="14.7109375" style="461" bestFit="1" customWidth="1"/>
    <col min="4367" max="4372" width="0" style="461" hidden="1" customWidth="1"/>
    <col min="4373" max="4373" width="30.7109375" style="461" customWidth="1"/>
    <col min="4374" max="4608" width="9.140625" style="461"/>
    <col min="4609" max="4609" width="56.140625" style="461" customWidth="1"/>
    <col min="4610" max="4610" width="9.5703125" style="461" customWidth="1"/>
    <col min="4611" max="4621" width="0" style="461" hidden="1" customWidth="1"/>
    <col min="4622" max="4622" width="14.7109375" style="461" bestFit="1" customWidth="1"/>
    <col min="4623" max="4628" width="0" style="461" hidden="1" customWidth="1"/>
    <col min="4629" max="4629" width="30.7109375" style="461" customWidth="1"/>
    <col min="4630" max="4864" width="9.140625" style="461"/>
    <col min="4865" max="4865" width="56.140625" style="461" customWidth="1"/>
    <col min="4866" max="4866" width="9.5703125" style="461" customWidth="1"/>
    <col min="4867" max="4877" width="0" style="461" hidden="1" customWidth="1"/>
    <col min="4878" max="4878" width="14.7109375" style="461" bestFit="1" customWidth="1"/>
    <col min="4879" max="4884" width="0" style="461" hidden="1" customWidth="1"/>
    <col min="4885" max="4885" width="30.7109375" style="461" customWidth="1"/>
    <col min="4886" max="5120" width="9.140625" style="461"/>
    <col min="5121" max="5121" width="56.140625" style="461" customWidth="1"/>
    <col min="5122" max="5122" width="9.5703125" style="461" customWidth="1"/>
    <col min="5123" max="5133" width="0" style="461" hidden="1" customWidth="1"/>
    <col min="5134" max="5134" width="14.7109375" style="461" bestFit="1" customWidth="1"/>
    <col min="5135" max="5140" width="0" style="461" hidden="1" customWidth="1"/>
    <col min="5141" max="5141" width="30.7109375" style="461" customWidth="1"/>
    <col min="5142" max="5376" width="9.140625" style="461"/>
    <col min="5377" max="5377" width="56.140625" style="461" customWidth="1"/>
    <col min="5378" max="5378" width="9.5703125" style="461" customWidth="1"/>
    <col min="5379" max="5389" width="0" style="461" hidden="1" customWidth="1"/>
    <col min="5390" max="5390" width="14.7109375" style="461" bestFit="1" customWidth="1"/>
    <col min="5391" max="5396" width="0" style="461" hidden="1" customWidth="1"/>
    <col min="5397" max="5397" width="30.7109375" style="461" customWidth="1"/>
    <col min="5398" max="5632" width="9.140625" style="461"/>
    <col min="5633" max="5633" width="56.140625" style="461" customWidth="1"/>
    <col min="5634" max="5634" width="9.5703125" style="461" customWidth="1"/>
    <col min="5635" max="5645" width="0" style="461" hidden="1" customWidth="1"/>
    <col min="5646" max="5646" width="14.7109375" style="461" bestFit="1" customWidth="1"/>
    <col min="5647" max="5652" width="0" style="461" hidden="1" customWidth="1"/>
    <col min="5653" max="5653" width="30.7109375" style="461" customWidth="1"/>
    <col min="5654" max="5888" width="9.140625" style="461"/>
    <col min="5889" max="5889" width="56.140625" style="461" customWidth="1"/>
    <col min="5890" max="5890" width="9.5703125" style="461" customWidth="1"/>
    <col min="5891" max="5901" width="0" style="461" hidden="1" customWidth="1"/>
    <col min="5902" max="5902" width="14.7109375" style="461" bestFit="1" customWidth="1"/>
    <col min="5903" max="5908" width="0" style="461" hidden="1" customWidth="1"/>
    <col min="5909" max="5909" width="30.7109375" style="461" customWidth="1"/>
    <col min="5910" max="6144" width="9.140625" style="461"/>
    <col min="6145" max="6145" width="56.140625" style="461" customWidth="1"/>
    <col min="6146" max="6146" width="9.5703125" style="461" customWidth="1"/>
    <col min="6147" max="6157" width="0" style="461" hidden="1" customWidth="1"/>
    <col min="6158" max="6158" width="14.7109375" style="461" bestFit="1" customWidth="1"/>
    <col min="6159" max="6164" width="0" style="461" hidden="1" customWidth="1"/>
    <col min="6165" max="6165" width="30.7109375" style="461" customWidth="1"/>
    <col min="6166" max="6400" width="9.140625" style="461"/>
    <col min="6401" max="6401" width="56.140625" style="461" customWidth="1"/>
    <col min="6402" max="6402" width="9.5703125" style="461" customWidth="1"/>
    <col min="6403" max="6413" width="0" style="461" hidden="1" customWidth="1"/>
    <col min="6414" max="6414" width="14.7109375" style="461" bestFit="1" customWidth="1"/>
    <col min="6415" max="6420" width="0" style="461" hidden="1" customWidth="1"/>
    <col min="6421" max="6421" width="30.7109375" style="461" customWidth="1"/>
    <col min="6422" max="6656" width="9.140625" style="461"/>
    <col min="6657" max="6657" width="56.140625" style="461" customWidth="1"/>
    <col min="6658" max="6658" width="9.5703125" style="461" customWidth="1"/>
    <col min="6659" max="6669" width="0" style="461" hidden="1" customWidth="1"/>
    <col min="6670" max="6670" width="14.7109375" style="461" bestFit="1" customWidth="1"/>
    <col min="6671" max="6676" width="0" style="461" hidden="1" customWidth="1"/>
    <col min="6677" max="6677" width="30.7109375" style="461" customWidth="1"/>
    <col min="6678" max="6912" width="9.140625" style="461"/>
    <col min="6913" max="6913" width="56.140625" style="461" customWidth="1"/>
    <col min="6914" max="6914" width="9.5703125" style="461" customWidth="1"/>
    <col min="6915" max="6925" width="0" style="461" hidden="1" customWidth="1"/>
    <col min="6926" max="6926" width="14.7109375" style="461" bestFit="1" customWidth="1"/>
    <col min="6927" max="6932" width="0" style="461" hidden="1" customWidth="1"/>
    <col min="6933" max="6933" width="30.7109375" style="461" customWidth="1"/>
    <col min="6934" max="7168" width="9.140625" style="461"/>
    <col min="7169" max="7169" width="56.140625" style="461" customWidth="1"/>
    <col min="7170" max="7170" width="9.5703125" style="461" customWidth="1"/>
    <col min="7171" max="7181" width="0" style="461" hidden="1" customWidth="1"/>
    <col min="7182" max="7182" width="14.7109375" style="461" bestFit="1" customWidth="1"/>
    <col min="7183" max="7188" width="0" style="461" hidden="1" customWidth="1"/>
    <col min="7189" max="7189" width="30.7109375" style="461" customWidth="1"/>
    <col min="7190" max="7424" width="9.140625" style="461"/>
    <col min="7425" max="7425" width="56.140625" style="461" customWidth="1"/>
    <col min="7426" max="7426" width="9.5703125" style="461" customWidth="1"/>
    <col min="7427" max="7437" width="0" style="461" hidden="1" customWidth="1"/>
    <col min="7438" max="7438" width="14.7109375" style="461" bestFit="1" customWidth="1"/>
    <col min="7439" max="7444" width="0" style="461" hidden="1" customWidth="1"/>
    <col min="7445" max="7445" width="30.7109375" style="461" customWidth="1"/>
    <col min="7446" max="7680" width="9.140625" style="461"/>
    <col min="7681" max="7681" width="56.140625" style="461" customWidth="1"/>
    <col min="7682" max="7682" width="9.5703125" style="461" customWidth="1"/>
    <col min="7683" max="7693" width="0" style="461" hidden="1" customWidth="1"/>
    <col min="7694" max="7694" width="14.7109375" style="461" bestFit="1" customWidth="1"/>
    <col min="7695" max="7700" width="0" style="461" hidden="1" customWidth="1"/>
    <col min="7701" max="7701" width="30.7109375" style="461" customWidth="1"/>
    <col min="7702" max="7936" width="9.140625" style="461"/>
    <col min="7937" max="7937" width="56.140625" style="461" customWidth="1"/>
    <col min="7938" max="7938" width="9.5703125" style="461" customWidth="1"/>
    <col min="7939" max="7949" width="0" style="461" hidden="1" customWidth="1"/>
    <col min="7950" max="7950" width="14.7109375" style="461" bestFit="1" customWidth="1"/>
    <col min="7951" max="7956" width="0" style="461" hidden="1" customWidth="1"/>
    <col min="7957" max="7957" width="30.7109375" style="461" customWidth="1"/>
    <col min="7958" max="8192" width="9.140625" style="461"/>
    <col min="8193" max="8193" width="56.140625" style="461" customWidth="1"/>
    <col min="8194" max="8194" width="9.5703125" style="461" customWidth="1"/>
    <col min="8195" max="8205" width="0" style="461" hidden="1" customWidth="1"/>
    <col min="8206" max="8206" width="14.7109375" style="461" bestFit="1" customWidth="1"/>
    <col min="8207" max="8212" width="0" style="461" hidden="1" customWidth="1"/>
    <col min="8213" max="8213" width="30.7109375" style="461" customWidth="1"/>
    <col min="8214" max="8448" width="9.140625" style="461"/>
    <col min="8449" max="8449" width="56.140625" style="461" customWidth="1"/>
    <col min="8450" max="8450" width="9.5703125" style="461" customWidth="1"/>
    <col min="8451" max="8461" width="0" style="461" hidden="1" customWidth="1"/>
    <col min="8462" max="8462" width="14.7109375" style="461" bestFit="1" customWidth="1"/>
    <col min="8463" max="8468" width="0" style="461" hidden="1" customWidth="1"/>
    <col min="8469" max="8469" width="30.7109375" style="461" customWidth="1"/>
    <col min="8470" max="8704" width="9.140625" style="461"/>
    <col min="8705" max="8705" width="56.140625" style="461" customWidth="1"/>
    <col min="8706" max="8706" width="9.5703125" style="461" customWidth="1"/>
    <col min="8707" max="8717" width="0" style="461" hidden="1" customWidth="1"/>
    <col min="8718" max="8718" width="14.7109375" style="461" bestFit="1" customWidth="1"/>
    <col min="8719" max="8724" width="0" style="461" hidden="1" customWidth="1"/>
    <col min="8725" max="8725" width="30.7109375" style="461" customWidth="1"/>
    <col min="8726" max="8960" width="9.140625" style="461"/>
    <col min="8961" max="8961" width="56.140625" style="461" customWidth="1"/>
    <col min="8962" max="8962" width="9.5703125" style="461" customWidth="1"/>
    <col min="8963" max="8973" width="0" style="461" hidden="1" customWidth="1"/>
    <col min="8974" max="8974" width="14.7109375" style="461" bestFit="1" customWidth="1"/>
    <col min="8975" max="8980" width="0" style="461" hidden="1" customWidth="1"/>
    <col min="8981" max="8981" width="30.7109375" style="461" customWidth="1"/>
    <col min="8982" max="9216" width="9.140625" style="461"/>
    <col min="9217" max="9217" width="56.140625" style="461" customWidth="1"/>
    <col min="9218" max="9218" width="9.5703125" style="461" customWidth="1"/>
    <col min="9219" max="9229" width="0" style="461" hidden="1" customWidth="1"/>
    <col min="9230" max="9230" width="14.7109375" style="461" bestFit="1" customWidth="1"/>
    <col min="9231" max="9236" width="0" style="461" hidden="1" customWidth="1"/>
    <col min="9237" max="9237" width="30.7109375" style="461" customWidth="1"/>
    <col min="9238" max="9472" width="9.140625" style="461"/>
    <col min="9473" max="9473" width="56.140625" style="461" customWidth="1"/>
    <col min="9474" max="9474" width="9.5703125" style="461" customWidth="1"/>
    <col min="9475" max="9485" width="0" style="461" hidden="1" customWidth="1"/>
    <col min="9486" max="9486" width="14.7109375" style="461" bestFit="1" customWidth="1"/>
    <col min="9487" max="9492" width="0" style="461" hidden="1" customWidth="1"/>
    <col min="9493" max="9493" width="30.7109375" style="461" customWidth="1"/>
    <col min="9494" max="9728" width="9.140625" style="461"/>
    <col min="9729" max="9729" width="56.140625" style="461" customWidth="1"/>
    <col min="9730" max="9730" width="9.5703125" style="461" customWidth="1"/>
    <col min="9731" max="9741" width="0" style="461" hidden="1" customWidth="1"/>
    <col min="9742" max="9742" width="14.7109375" style="461" bestFit="1" customWidth="1"/>
    <col min="9743" max="9748" width="0" style="461" hidden="1" customWidth="1"/>
    <col min="9749" max="9749" width="30.7109375" style="461" customWidth="1"/>
    <col min="9750" max="9984" width="9.140625" style="461"/>
    <col min="9985" max="9985" width="56.140625" style="461" customWidth="1"/>
    <col min="9986" max="9986" width="9.5703125" style="461" customWidth="1"/>
    <col min="9987" max="9997" width="0" style="461" hidden="1" customWidth="1"/>
    <col min="9998" max="9998" width="14.7109375" style="461" bestFit="1" customWidth="1"/>
    <col min="9999" max="10004" width="0" style="461" hidden="1" customWidth="1"/>
    <col min="10005" max="10005" width="30.7109375" style="461" customWidth="1"/>
    <col min="10006" max="10240" width="9.140625" style="461"/>
    <col min="10241" max="10241" width="56.140625" style="461" customWidth="1"/>
    <col min="10242" max="10242" width="9.5703125" style="461" customWidth="1"/>
    <col min="10243" max="10253" width="0" style="461" hidden="1" customWidth="1"/>
    <col min="10254" max="10254" width="14.7109375" style="461" bestFit="1" customWidth="1"/>
    <col min="10255" max="10260" width="0" style="461" hidden="1" customWidth="1"/>
    <col min="10261" max="10261" width="30.7109375" style="461" customWidth="1"/>
    <col min="10262" max="10496" width="9.140625" style="461"/>
    <col min="10497" max="10497" width="56.140625" style="461" customWidth="1"/>
    <col min="10498" max="10498" width="9.5703125" style="461" customWidth="1"/>
    <col min="10499" max="10509" width="0" style="461" hidden="1" customWidth="1"/>
    <col min="10510" max="10510" width="14.7109375" style="461" bestFit="1" customWidth="1"/>
    <col min="10511" max="10516" width="0" style="461" hidden="1" customWidth="1"/>
    <col min="10517" max="10517" width="30.7109375" style="461" customWidth="1"/>
    <col min="10518" max="10752" width="9.140625" style="461"/>
    <col min="10753" max="10753" width="56.140625" style="461" customWidth="1"/>
    <col min="10754" max="10754" width="9.5703125" style="461" customWidth="1"/>
    <col min="10755" max="10765" width="0" style="461" hidden="1" customWidth="1"/>
    <col min="10766" max="10766" width="14.7109375" style="461" bestFit="1" customWidth="1"/>
    <col min="10767" max="10772" width="0" style="461" hidden="1" customWidth="1"/>
    <col min="10773" max="10773" width="30.7109375" style="461" customWidth="1"/>
    <col min="10774" max="11008" width="9.140625" style="461"/>
    <col min="11009" max="11009" width="56.140625" style="461" customWidth="1"/>
    <col min="11010" max="11010" width="9.5703125" style="461" customWidth="1"/>
    <col min="11011" max="11021" width="0" style="461" hidden="1" customWidth="1"/>
    <col min="11022" max="11022" width="14.7109375" style="461" bestFit="1" customWidth="1"/>
    <col min="11023" max="11028" width="0" style="461" hidden="1" customWidth="1"/>
    <col min="11029" max="11029" width="30.7109375" style="461" customWidth="1"/>
    <col min="11030" max="11264" width="9.140625" style="461"/>
    <col min="11265" max="11265" width="56.140625" style="461" customWidth="1"/>
    <col min="11266" max="11266" width="9.5703125" style="461" customWidth="1"/>
    <col min="11267" max="11277" width="0" style="461" hidden="1" customWidth="1"/>
    <col min="11278" max="11278" width="14.7109375" style="461" bestFit="1" customWidth="1"/>
    <col min="11279" max="11284" width="0" style="461" hidden="1" customWidth="1"/>
    <col min="11285" max="11285" width="30.7109375" style="461" customWidth="1"/>
    <col min="11286" max="11520" width="9.140625" style="461"/>
    <col min="11521" max="11521" width="56.140625" style="461" customWidth="1"/>
    <col min="11522" max="11522" width="9.5703125" style="461" customWidth="1"/>
    <col min="11523" max="11533" width="0" style="461" hidden="1" customWidth="1"/>
    <col min="11534" max="11534" width="14.7109375" style="461" bestFit="1" customWidth="1"/>
    <col min="11535" max="11540" width="0" style="461" hidden="1" customWidth="1"/>
    <col min="11541" max="11541" width="30.7109375" style="461" customWidth="1"/>
    <col min="11542" max="11776" width="9.140625" style="461"/>
    <col min="11777" max="11777" width="56.140625" style="461" customWidth="1"/>
    <col min="11778" max="11778" width="9.5703125" style="461" customWidth="1"/>
    <col min="11779" max="11789" width="0" style="461" hidden="1" customWidth="1"/>
    <col min="11790" max="11790" width="14.7109375" style="461" bestFit="1" customWidth="1"/>
    <col min="11791" max="11796" width="0" style="461" hidden="1" customWidth="1"/>
    <col min="11797" max="11797" width="30.7109375" style="461" customWidth="1"/>
    <col min="11798" max="12032" width="9.140625" style="461"/>
    <col min="12033" max="12033" width="56.140625" style="461" customWidth="1"/>
    <col min="12034" max="12034" width="9.5703125" style="461" customWidth="1"/>
    <col min="12035" max="12045" width="0" style="461" hidden="1" customWidth="1"/>
    <col min="12046" max="12046" width="14.7109375" style="461" bestFit="1" customWidth="1"/>
    <col min="12047" max="12052" width="0" style="461" hidden="1" customWidth="1"/>
    <col min="12053" max="12053" width="30.7109375" style="461" customWidth="1"/>
    <col min="12054" max="12288" width="9.140625" style="461"/>
    <col min="12289" max="12289" width="56.140625" style="461" customWidth="1"/>
    <col min="12290" max="12290" width="9.5703125" style="461" customWidth="1"/>
    <col min="12291" max="12301" width="0" style="461" hidden="1" customWidth="1"/>
    <col min="12302" max="12302" width="14.7109375" style="461" bestFit="1" customWidth="1"/>
    <col min="12303" max="12308" width="0" style="461" hidden="1" customWidth="1"/>
    <col min="12309" max="12309" width="30.7109375" style="461" customWidth="1"/>
    <col min="12310" max="12544" width="9.140625" style="461"/>
    <col min="12545" max="12545" width="56.140625" style="461" customWidth="1"/>
    <col min="12546" max="12546" width="9.5703125" style="461" customWidth="1"/>
    <col min="12547" max="12557" width="0" style="461" hidden="1" customWidth="1"/>
    <col min="12558" max="12558" width="14.7109375" style="461" bestFit="1" customWidth="1"/>
    <col min="12559" max="12564" width="0" style="461" hidden="1" customWidth="1"/>
    <col min="12565" max="12565" width="30.7109375" style="461" customWidth="1"/>
    <col min="12566" max="12800" width="9.140625" style="461"/>
    <col min="12801" max="12801" width="56.140625" style="461" customWidth="1"/>
    <col min="12802" max="12802" width="9.5703125" style="461" customWidth="1"/>
    <col min="12803" max="12813" width="0" style="461" hidden="1" customWidth="1"/>
    <col min="12814" max="12814" width="14.7109375" style="461" bestFit="1" customWidth="1"/>
    <col min="12815" max="12820" width="0" style="461" hidden="1" customWidth="1"/>
    <col min="12821" max="12821" width="30.7109375" style="461" customWidth="1"/>
    <col min="12822" max="13056" width="9.140625" style="461"/>
    <col min="13057" max="13057" width="56.140625" style="461" customWidth="1"/>
    <col min="13058" max="13058" width="9.5703125" style="461" customWidth="1"/>
    <col min="13059" max="13069" width="0" style="461" hidden="1" customWidth="1"/>
    <col min="13070" max="13070" width="14.7109375" style="461" bestFit="1" customWidth="1"/>
    <col min="13071" max="13076" width="0" style="461" hidden="1" customWidth="1"/>
    <col min="13077" max="13077" width="30.7109375" style="461" customWidth="1"/>
    <col min="13078" max="13312" width="9.140625" style="461"/>
    <col min="13313" max="13313" width="56.140625" style="461" customWidth="1"/>
    <col min="13314" max="13314" width="9.5703125" style="461" customWidth="1"/>
    <col min="13315" max="13325" width="0" style="461" hidden="1" customWidth="1"/>
    <col min="13326" max="13326" width="14.7109375" style="461" bestFit="1" customWidth="1"/>
    <col min="13327" max="13332" width="0" style="461" hidden="1" customWidth="1"/>
    <col min="13333" max="13333" width="30.7109375" style="461" customWidth="1"/>
    <col min="13334" max="13568" width="9.140625" style="461"/>
    <col min="13569" max="13569" width="56.140625" style="461" customWidth="1"/>
    <col min="13570" max="13570" width="9.5703125" style="461" customWidth="1"/>
    <col min="13571" max="13581" width="0" style="461" hidden="1" customWidth="1"/>
    <col min="13582" max="13582" width="14.7109375" style="461" bestFit="1" customWidth="1"/>
    <col min="13583" max="13588" width="0" style="461" hidden="1" customWidth="1"/>
    <col min="13589" max="13589" width="30.7109375" style="461" customWidth="1"/>
    <col min="13590" max="13824" width="9.140625" style="461"/>
    <col min="13825" max="13825" width="56.140625" style="461" customWidth="1"/>
    <col min="13826" max="13826" width="9.5703125" style="461" customWidth="1"/>
    <col min="13827" max="13837" width="0" style="461" hidden="1" customWidth="1"/>
    <col min="13838" max="13838" width="14.7109375" style="461" bestFit="1" customWidth="1"/>
    <col min="13839" max="13844" width="0" style="461" hidden="1" customWidth="1"/>
    <col min="13845" max="13845" width="30.7109375" style="461" customWidth="1"/>
    <col min="13846" max="14080" width="9.140625" style="461"/>
    <col min="14081" max="14081" width="56.140625" style="461" customWidth="1"/>
    <col min="14082" max="14082" width="9.5703125" style="461" customWidth="1"/>
    <col min="14083" max="14093" width="0" style="461" hidden="1" customWidth="1"/>
    <col min="14094" max="14094" width="14.7109375" style="461" bestFit="1" customWidth="1"/>
    <col min="14095" max="14100" width="0" style="461" hidden="1" customWidth="1"/>
    <col min="14101" max="14101" width="30.7109375" style="461" customWidth="1"/>
    <col min="14102" max="14336" width="9.140625" style="461"/>
    <col min="14337" max="14337" width="56.140625" style="461" customWidth="1"/>
    <col min="14338" max="14338" width="9.5703125" style="461" customWidth="1"/>
    <col min="14339" max="14349" width="0" style="461" hidden="1" customWidth="1"/>
    <col min="14350" max="14350" width="14.7109375" style="461" bestFit="1" customWidth="1"/>
    <col min="14351" max="14356" width="0" style="461" hidden="1" customWidth="1"/>
    <col min="14357" max="14357" width="30.7109375" style="461" customWidth="1"/>
    <col min="14358" max="14592" width="9.140625" style="461"/>
    <col min="14593" max="14593" width="56.140625" style="461" customWidth="1"/>
    <col min="14594" max="14594" width="9.5703125" style="461" customWidth="1"/>
    <col min="14595" max="14605" width="0" style="461" hidden="1" customWidth="1"/>
    <col min="14606" max="14606" width="14.7109375" style="461" bestFit="1" customWidth="1"/>
    <col min="14607" max="14612" width="0" style="461" hidden="1" customWidth="1"/>
    <col min="14613" max="14613" width="30.7109375" style="461" customWidth="1"/>
    <col min="14614" max="14848" width="9.140625" style="461"/>
    <col min="14849" max="14849" width="56.140625" style="461" customWidth="1"/>
    <col min="14850" max="14850" width="9.5703125" style="461" customWidth="1"/>
    <col min="14851" max="14861" width="0" style="461" hidden="1" customWidth="1"/>
    <col min="14862" max="14862" width="14.7109375" style="461" bestFit="1" customWidth="1"/>
    <col min="14863" max="14868" width="0" style="461" hidden="1" customWidth="1"/>
    <col min="14869" max="14869" width="30.7109375" style="461" customWidth="1"/>
    <col min="14870" max="15104" width="9.140625" style="461"/>
    <col min="15105" max="15105" width="56.140625" style="461" customWidth="1"/>
    <col min="15106" max="15106" width="9.5703125" style="461" customWidth="1"/>
    <col min="15107" max="15117" width="0" style="461" hidden="1" customWidth="1"/>
    <col min="15118" max="15118" width="14.7109375" style="461" bestFit="1" customWidth="1"/>
    <col min="15119" max="15124" width="0" style="461" hidden="1" customWidth="1"/>
    <col min="15125" max="15125" width="30.7109375" style="461" customWidth="1"/>
    <col min="15126" max="15360" width="9.140625" style="461"/>
    <col min="15361" max="15361" width="56.140625" style="461" customWidth="1"/>
    <col min="15362" max="15362" width="9.5703125" style="461" customWidth="1"/>
    <col min="15363" max="15373" width="0" style="461" hidden="1" customWidth="1"/>
    <col min="15374" max="15374" width="14.7109375" style="461" bestFit="1" customWidth="1"/>
    <col min="15375" max="15380" width="0" style="461" hidden="1" customWidth="1"/>
    <col min="15381" max="15381" width="30.7109375" style="461" customWidth="1"/>
    <col min="15382" max="15616" width="9.140625" style="461"/>
    <col min="15617" max="15617" width="56.140625" style="461" customWidth="1"/>
    <col min="15618" max="15618" width="9.5703125" style="461" customWidth="1"/>
    <col min="15619" max="15629" width="0" style="461" hidden="1" customWidth="1"/>
    <col min="15630" max="15630" width="14.7109375" style="461" bestFit="1" customWidth="1"/>
    <col min="15631" max="15636" width="0" style="461" hidden="1" customWidth="1"/>
    <col min="15637" max="15637" width="30.7109375" style="461" customWidth="1"/>
    <col min="15638" max="15872" width="9.140625" style="461"/>
    <col min="15873" max="15873" width="56.140625" style="461" customWidth="1"/>
    <col min="15874" max="15874" width="9.5703125" style="461" customWidth="1"/>
    <col min="15875" max="15885" width="0" style="461" hidden="1" customWidth="1"/>
    <col min="15886" max="15886" width="14.7109375" style="461" bestFit="1" customWidth="1"/>
    <col min="15887" max="15892" width="0" style="461" hidden="1" customWidth="1"/>
    <col min="15893" max="15893" width="30.7109375" style="461" customWidth="1"/>
    <col min="15894" max="16128" width="9.140625" style="461"/>
    <col min="16129" max="16129" width="56.140625" style="461" customWidth="1"/>
    <col min="16130" max="16130" width="9.5703125" style="461" customWidth="1"/>
    <col min="16131" max="16141" width="0" style="461" hidden="1" customWidth="1"/>
    <col min="16142" max="16142" width="14.7109375" style="461" bestFit="1" customWidth="1"/>
    <col min="16143" max="16148" width="0" style="461" hidden="1" customWidth="1"/>
    <col min="16149" max="16149" width="30.7109375" style="461" customWidth="1"/>
    <col min="16150" max="16384" width="9.140625" style="461"/>
  </cols>
  <sheetData>
    <row r="1" spans="1:19" s="453" customFormat="1" ht="15.75">
      <c r="A1" s="564" t="s">
        <v>304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Q1" s="454"/>
      <c r="R1" s="455"/>
      <c r="S1" s="456"/>
    </row>
    <row r="2" spans="1:19" s="453" customFormat="1" ht="15.75">
      <c r="A2" s="565" t="s">
        <v>303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Q2" s="457"/>
      <c r="R2" s="458"/>
      <c r="S2" s="456"/>
    </row>
    <row r="3" spans="1:19" s="453" customFormat="1" ht="15.75">
      <c r="A3" s="566" t="str">
        <f>R4</f>
        <v>March 2017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Q3" s="457"/>
      <c r="R3" s="458"/>
      <c r="S3" s="456"/>
    </row>
    <row r="4" spans="1:19" s="453" customFormat="1">
      <c r="A4" s="459"/>
      <c r="Q4" s="457" t="s">
        <v>408</v>
      </c>
      <c r="R4" s="458" t="str">
        <f>TEXT(S4,"mmmm yyyy")</f>
        <v>March 2017</v>
      </c>
      <c r="S4" s="460">
        <v>42825</v>
      </c>
    </row>
    <row r="5" spans="1:19" ht="15.7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Q5" s="457" t="s">
        <v>409</v>
      </c>
      <c r="R5" s="458" t="str">
        <f>S5</f>
        <v>.</v>
      </c>
      <c r="S5" s="462" t="s">
        <v>410</v>
      </c>
    </row>
    <row r="6" spans="1:19" ht="15.75">
      <c r="A6" s="106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 t="str">
        <f>"FY "&amp;R6&amp;" YTD"</f>
        <v>FY 2017 YTD</v>
      </c>
      <c r="Q6" s="457" t="s">
        <v>411</v>
      </c>
      <c r="R6" s="458" t="str">
        <f>S6</f>
        <v>2017</v>
      </c>
      <c r="S6" s="462" t="s">
        <v>412</v>
      </c>
    </row>
    <row r="7" spans="1:19" ht="16.5" thickBot="1">
      <c r="A7" s="106"/>
      <c r="B7" s="463" t="str">
        <f>"9/1/20"&amp;$R$10</f>
        <v>9/1/2016</v>
      </c>
      <c r="C7" s="463" t="str">
        <f>"Oct 20"&amp;$R$10</f>
        <v>Oct 2016</v>
      </c>
      <c r="D7" s="536" t="str">
        <f>"Nov 20"&amp;$R$10</f>
        <v>Nov 2016</v>
      </c>
      <c r="E7" s="536" t="str">
        <f>"Dec 20"&amp;$R$10</f>
        <v>Dec 2016</v>
      </c>
      <c r="F7" s="536" t="str">
        <f>"Jan "&amp;$R$6</f>
        <v>Jan 2017</v>
      </c>
      <c r="G7" s="536" t="str">
        <f>"Feb "&amp;$R$6</f>
        <v>Feb 2017</v>
      </c>
      <c r="H7" s="536" t="str">
        <f>"Mar "&amp;$R$6</f>
        <v>Mar 2017</v>
      </c>
      <c r="I7" s="536" t="str">
        <f>"Apr "&amp;$R$6</f>
        <v>Apr 2017</v>
      </c>
      <c r="J7" s="536" t="str">
        <f>"May "&amp;$R$6</f>
        <v>May 2017</v>
      </c>
      <c r="K7" s="536" t="str">
        <f>"Jun "&amp;$R$6</f>
        <v>Jun 2017</v>
      </c>
      <c r="L7" s="536" t="str">
        <f>"Jul "&amp;$R$6</f>
        <v>Jul 2017</v>
      </c>
      <c r="M7" s="536" t="str">
        <f>"Aug "&amp;$R$6</f>
        <v>Aug 2017</v>
      </c>
      <c r="N7" s="536" t="str">
        <f>"as of "&amp;R8</f>
        <v>as of 03/31/17</v>
      </c>
      <c r="Q7" s="457" t="s">
        <v>413</v>
      </c>
      <c r="R7" s="458" t="str">
        <f>TEXT(S7,"mmmm-dd-yyyy")</f>
        <v>March-31-2017</v>
      </c>
      <c r="S7" s="460">
        <f>S4</f>
        <v>42825</v>
      </c>
    </row>
    <row r="8" spans="1:19" ht="16.5" thickTop="1">
      <c r="A8" s="106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Q8" s="457" t="s">
        <v>413</v>
      </c>
      <c r="R8" s="458" t="str">
        <f>TEXT(S8,"mm/dd/yy")</f>
        <v>03/31/17</v>
      </c>
      <c r="S8" s="460">
        <f>S4</f>
        <v>42825</v>
      </c>
    </row>
    <row r="9" spans="1:19" ht="16.5" thickBot="1">
      <c r="A9" s="541" t="s">
        <v>302</v>
      </c>
      <c r="B9" s="113">
        <v>0</v>
      </c>
      <c r="C9" s="113">
        <f>B9</f>
        <v>0</v>
      </c>
      <c r="D9" s="113">
        <f t="shared" ref="D9:M9" si="0">C9</f>
        <v>0</v>
      </c>
      <c r="E9" s="113">
        <f t="shared" si="0"/>
        <v>0</v>
      </c>
      <c r="F9" s="113">
        <f t="shared" si="0"/>
        <v>0</v>
      </c>
      <c r="G9" s="113">
        <f t="shared" si="0"/>
        <v>0</v>
      </c>
      <c r="H9" s="113">
        <f t="shared" si="0"/>
        <v>0</v>
      </c>
      <c r="I9" s="113">
        <f t="shared" si="0"/>
        <v>0</v>
      </c>
      <c r="J9" s="113">
        <f t="shared" si="0"/>
        <v>0</v>
      </c>
      <c r="K9" s="113">
        <f t="shared" si="0"/>
        <v>0</v>
      </c>
      <c r="L9" s="113">
        <f t="shared" si="0"/>
        <v>0</v>
      </c>
      <c r="M9" s="113">
        <f t="shared" si="0"/>
        <v>0</v>
      </c>
      <c r="N9" s="113">
        <f t="shared" ref="N9" si="1">+M29</f>
        <v>0</v>
      </c>
      <c r="Q9" s="457" t="s">
        <v>411</v>
      </c>
      <c r="R9" s="458">
        <f>S9</f>
        <v>17</v>
      </c>
      <c r="S9" s="464">
        <v>17</v>
      </c>
    </row>
    <row r="10" spans="1:19" ht="15.75">
      <c r="A10" s="106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Q10" s="527" t="s">
        <v>414</v>
      </c>
      <c r="R10" s="528">
        <f>S10</f>
        <v>16</v>
      </c>
      <c r="S10" s="465">
        <f>S9-1</f>
        <v>16</v>
      </c>
    </row>
    <row r="11" spans="1:19" ht="15.75">
      <c r="A11" s="108" t="s">
        <v>301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9" ht="15.75">
      <c r="A12" s="106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9" ht="15.75">
      <c r="A13" s="112" t="s">
        <v>300</v>
      </c>
      <c r="B13" s="105">
        <v>869.22</v>
      </c>
      <c r="C13" s="105">
        <v>22.45</v>
      </c>
      <c r="D13" s="105">
        <v>179.08</v>
      </c>
      <c r="E13" s="105">
        <v>104.5</v>
      </c>
      <c r="F13" s="105">
        <v>899.65</v>
      </c>
      <c r="G13" s="105">
        <v>5.84</v>
      </c>
      <c r="H13" s="105">
        <v>15.05</v>
      </c>
      <c r="I13" s="105"/>
      <c r="J13" s="105"/>
      <c r="K13" s="105"/>
      <c r="L13" s="105"/>
      <c r="M13" s="105"/>
      <c r="N13" s="105">
        <f>SUM(B13:M13)</f>
        <v>2095.7900000000004</v>
      </c>
    </row>
    <row r="14" spans="1:19" ht="15.75">
      <c r="A14" s="106" t="s">
        <v>299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>
        <f>SUM(B14:M14)</f>
        <v>0</v>
      </c>
    </row>
    <row r="15" spans="1:19" ht="15.75">
      <c r="A15" s="106" t="s">
        <v>298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>
        <f>SUM(B15:M15)</f>
        <v>0</v>
      </c>
    </row>
    <row r="16" spans="1:19" ht="15.75">
      <c r="A16" s="106" t="s">
        <v>297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>
        <f>SUM(B16:M16)</f>
        <v>0</v>
      </c>
    </row>
    <row r="17" spans="1:14" ht="15.75">
      <c r="A17" s="106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11"/>
    </row>
    <row r="18" spans="1:14" ht="15.75">
      <c r="A18" s="108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5"/>
    </row>
    <row r="19" spans="1:14" ht="15.75">
      <c r="A19" s="106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5"/>
    </row>
    <row r="20" spans="1:14" ht="15.75">
      <c r="A20" s="110" t="s">
        <v>296</v>
      </c>
      <c r="B20" s="107">
        <f t="shared" ref="B20:M20" si="2">SUM(B9:B16)</f>
        <v>869.22</v>
      </c>
      <c r="C20" s="107">
        <f>SUM(C9:C16)</f>
        <v>22.45</v>
      </c>
      <c r="D20" s="107">
        <f t="shared" si="2"/>
        <v>179.08</v>
      </c>
      <c r="E20" s="107">
        <f t="shared" si="2"/>
        <v>104.5</v>
      </c>
      <c r="F20" s="107">
        <f t="shared" si="2"/>
        <v>899.65</v>
      </c>
      <c r="G20" s="107">
        <f t="shared" si="2"/>
        <v>5.84</v>
      </c>
      <c r="H20" s="107">
        <f t="shared" si="2"/>
        <v>15.05</v>
      </c>
      <c r="I20" s="107">
        <f t="shared" si="2"/>
        <v>0</v>
      </c>
      <c r="J20" s="107">
        <f t="shared" si="2"/>
        <v>0</v>
      </c>
      <c r="K20" s="107">
        <f t="shared" si="2"/>
        <v>0</v>
      </c>
      <c r="L20" s="107">
        <f t="shared" si="2"/>
        <v>0</v>
      </c>
      <c r="M20" s="107">
        <f t="shared" si="2"/>
        <v>0</v>
      </c>
      <c r="N20" s="107">
        <f>SUM(N11:N16)</f>
        <v>2095.7900000000004</v>
      </c>
    </row>
    <row r="21" spans="1:14" ht="15.75">
      <c r="A21" s="106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</row>
    <row r="22" spans="1:14" ht="15.75">
      <c r="A22" s="108" t="s">
        <v>295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1:14" ht="15.75">
      <c r="A23" s="108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5.75">
      <c r="A24" s="109" t="s">
        <v>294</v>
      </c>
      <c r="B24" s="103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>
        <v>0</v>
      </c>
      <c r="N24" s="105">
        <f>SUM(B24:M24)</f>
        <v>0</v>
      </c>
    </row>
    <row r="25" spans="1:14" ht="15.75">
      <c r="A25" s="108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</row>
    <row r="26" spans="1:14" ht="15.75">
      <c r="A26" s="108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4" ht="15.75">
      <c r="A27" s="108" t="s">
        <v>293</v>
      </c>
      <c r="B27" s="107">
        <f>SUM(B21:B26)</f>
        <v>0</v>
      </c>
      <c r="C27" s="107">
        <f t="shared" ref="C27:M27" si="3">SUM(C23:C26)</f>
        <v>0</v>
      </c>
      <c r="D27" s="107">
        <f t="shared" si="3"/>
        <v>0</v>
      </c>
      <c r="E27" s="107">
        <f t="shared" si="3"/>
        <v>0</v>
      </c>
      <c r="F27" s="107">
        <f t="shared" si="3"/>
        <v>0</v>
      </c>
      <c r="G27" s="107">
        <f t="shared" si="3"/>
        <v>0</v>
      </c>
      <c r="H27" s="107">
        <f t="shared" si="3"/>
        <v>0</v>
      </c>
      <c r="I27" s="107">
        <f t="shared" si="3"/>
        <v>0</v>
      </c>
      <c r="J27" s="107">
        <f t="shared" si="3"/>
        <v>0</v>
      </c>
      <c r="K27" s="107">
        <f t="shared" si="3"/>
        <v>0</v>
      </c>
      <c r="L27" s="107">
        <f t="shared" si="3"/>
        <v>0</v>
      </c>
      <c r="M27" s="107">
        <f t="shared" si="3"/>
        <v>0</v>
      </c>
      <c r="N27" s="107">
        <f>SUM(N21:N26)</f>
        <v>0</v>
      </c>
    </row>
    <row r="28" spans="1:14" ht="15.75">
      <c r="A28" s="106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1:14" ht="16.5" thickBot="1">
      <c r="A29" s="544" t="s">
        <v>292</v>
      </c>
      <c r="B29" s="104">
        <f>+B20+B27+B9</f>
        <v>869.22</v>
      </c>
      <c r="C29" s="104">
        <f>+C20+C27</f>
        <v>22.45</v>
      </c>
      <c r="D29" s="104">
        <f t="shared" ref="D29:N29" si="4">+D20+D27</f>
        <v>179.08</v>
      </c>
      <c r="E29" s="104">
        <f t="shared" si="4"/>
        <v>104.5</v>
      </c>
      <c r="F29" s="104">
        <f t="shared" si="4"/>
        <v>899.65</v>
      </c>
      <c r="G29" s="104">
        <f t="shared" si="4"/>
        <v>5.84</v>
      </c>
      <c r="H29" s="104">
        <f t="shared" si="4"/>
        <v>15.05</v>
      </c>
      <c r="I29" s="104">
        <f t="shared" si="4"/>
        <v>0</v>
      </c>
      <c r="J29" s="104">
        <f t="shared" si="4"/>
        <v>0</v>
      </c>
      <c r="K29" s="104">
        <f t="shared" si="4"/>
        <v>0</v>
      </c>
      <c r="L29" s="104">
        <f t="shared" si="4"/>
        <v>0</v>
      </c>
      <c r="M29" s="104">
        <f t="shared" si="4"/>
        <v>0</v>
      </c>
      <c r="N29" s="104">
        <f t="shared" si="4"/>
        <v>2095.7900000000004</v>
      </c>
    </row>
    <row r="30" spans="1:14" ht="16.5" thickTop="1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1:14" ht="15.7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ht="15.75">
      <c r="A32" s="102" t="s">
        <v>291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15.7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X51"/>
  <sheetViews>
    <sheetView topLeftCell="A7" zoomScale="85" zoomScaleNormal="85" zoomScaleSheetLayoutView="85" workbookViewId="0">
      <selection activeCell="H23" sqref="H23"/>
    </sheetView>
  </sheetViews>
  <sheetFormatPr defaultColWidth="9.140625" defaultRowHeight="12.75"/>
  <cols>
    <col min="1" max="1" width="71.42578125" style="474" bestFit="1" customWidth="1"/>
    <col min="2" max="2" width="11.28515625" style="474" hidden="1" customWidth="1"/>
    <col min="3" max="3" width="11.85546875" style="474" hidden="1" customWidth="1"/>
    <col min="4" max="4" width="12.140625" style="474" hidden="1" customWidth="1"/>
    <col min="5" max="7" width="13.5703125" style="474" hidden="1" customWidth="1"/>
    <col min="8" max="8" width="13.5703125" style="474" customWidth="1"/>
    <col min="9" max="13" width="13.5703125" style="474" hidden="1" customWidth="1"/>
    <col min="14" max="14" width="16.7109375" style="474" bestFit="1" customWidth="1"/>
    <col min="15" max="15" width="22" style="474" customWidth="1"/>
    <col min="16" max="16" width="22" style="474" hidden="1" customWidth="1"/>
    <col min="17" max="17" width="18.85546875" style="474" hidden="1" customWidth="1"/>
    <col min="18" max="18" width="16.42578125" style="474" hidden="1" customWidth="1"/>
    <col min="19" max="19" width="9.28515625" style="474" hidden="1" customWidth="1"/>
    <col min="20" max="20" width="22" style="474" hidden="1" customWidth="1"/>
    <col min="21" max="24" width="9.140625" style="474" hidden="1" customWidth="1"/>
    <col min="25" max="256" width="9.140625" style="474"/>
    <col min="257" max="257" width="63.85546875" style="474" bestFit="1" customWidth="1"/>
    <col min="258" max="258" width="11.5703125" style="474" bestFit="1" customWidth="1"/>
    <col min="259" max="269" width="0" style="474" hidden="1" customWidth="1"/>
    <col min="270" max="270" width="14.7109375" style="474" customWidth="1"/>
    <col min="271" max="277" width="0" style="474" hidden="1" customWidth="1"/>
    <col min="278" max="512" width="9.140625" style="474"/>
    <col min="513" max="513" width="63.85546875" style="474" bestFit="1" customWidth="1"/>
    <col min="514" max="514" width="11.5703125" style="474" bestFit="1" customWidth="1"/>
    <col min="515" max="525" width="0" style="474" hidden="1" customWidth="1"/>
    <col min="526" max="526" width="14.7109375" style="474" customWidth="1"/>
    <col min="527" max="533" width="0" style="474" hidden="1" customWidth="1"/>
    <col min="534" max="768" width="9.140625" style="474"/>
    <col min="769" max="769" width="63.85546875" style="474" bestFit="1" customWidth="1"/>
    <col min="770" max="770" width="11.5703125" style="474" bestFit="1" customWidth="1"/>
    <col min="771" max="781" width="0" style="474" hidden="1" customWidth="1"/>
    <col min="782" max="782" width="14.7109375" style="474" customWidth="1"/>
    <col min="783" max="789" width="0" style="474" hidden="1" customWidth="1"/>
    <col min="790" max="1024" width="9.140625" style="474"/>
    <col min="1025" max="1025" width="63.85546875" style="474" bestFit="1" customWidth="1"/>
    <col min="1026" max="1026" width="11.5703125" style="474" bestFit="1" customWidth="1"/>
    <col min="1027" max="1037" width="0" style="474" hidden="1" customWidth="1"/>
    <col min="1038" max="1038" width="14.7109375" style="474" customWidth="1"/>
    <col min="1039" max="1045" width="0" style="474" hidden="1" customWidth="1"/>
    <col min="1046" max="1280" width="9.140625" style="474"/>
    <col min="1281" max="1281" width="63.85546875" style="474" bestFit="1" customWidth="1"/>
    <col min="1282" max="1282" width="11.5703125" style="474" bestFit="1" customWidth="1"/>
    <col min="1283" max="1293" width="0" style="474" hidden="1" customWidth="1"/>
    <col min="1294" max="1294" width="14.7109375" style="474" customWidth="1"/>
    <col min="1295" max="1301" width="0" style="474" hidden="1" customWidth="1"/>
    <col min="1302" max="1536" width="9.140625" style="474"/>
    <col min="1537" max="1537" width="63.85546875" style="474" bestFit="1" customWidth="1"/>
    <col min="1538" max="1538" width="11.5703125" style="474" bestFit="1" customWidth="1"/>
    <col min="1539" max="1549" width="0" style="474" hidden="1" customWidth="1"/>
    <col min="1550" max="1550" width="14.7109375" style="474" customWidth="1"/>
    <col min="1551" max="1557" width="0" style="474" hidden="1" customWidth="1"/>
    <col min="1558" max="1792" width="9.140625" style="474"/>
    <col min="1793" max="1793" width="63.85546875" style="474" bestFit="1" customWidth="1"/>
    <col min="1794" max="1794" width="11.5703125" style="474" bestFit="1" customWidth="1"/>
    <col min="1795" max="1805" width="0" style="474" hidden="1" customWidth="1"/>
    <col min="1806" max="1806" width="14.7109375" style="474" customWidth="1"/>
    <col min="1807" max="1813" width="0" style="474" hidden="1" customWidth="1"/>
    <col min="1814" max="2048" width="9.140625" style="474"/>
    <col min="2049" max="2049" width="63.85546875" style="474" bestFit="1" customWidth="1"/>
    <col min="2050" max="2050" width="11.5703125" style="474" bestFit="1" customWidth="1"/>
    <col min="2051" max="2061" width="0" style="474" hidden="1" customWidth="1"/>
    <col min="2062" max="2062" width="14.7109375" style="474" customWidth="1"/>
    <col min="2063" max="2069" width="0" style="474" hidden="1" customWidth="1"/>
    <col min="2070" max="2304" width="9.140625" style="474"/>
    <col min="2305" max="2305" width="63.85546875" style="474" bestFit="1" customWidth="1"/>
    <col min="2306" max="2306" width="11.5703125" style="474" bestFit="1" customWidth="1"/>
    <col min="2307" max="2317" width="0" style="474" hidden="1" customWidth="1"/>
    <col min="2318" max="2318" width="14.7109375" style="474" customWidth="1"/>
    <col min="2319" max="2325" width="0" style="474" hidden="1" customWidth="1"/>
    <col min="2326" max="2560" width="9.140625" style="474"/>
    <col min="2561" max="2561" width="63.85546875" style="474" bestFit="1" customWidth="1"/>
    <col min="2562" max="2562" width="11.5703125" style="474" bestFit="1" customWidth="1"/>
    <col min="2563" max="2573" width="0" style="474" hidden="1" customWidth="1"/>
    <col min="2574" max="2574" width="14.7109375" style="474" customWidth="1"/>
    <col min="2575" max="2581" width="0" style="474" hidden="1" customWidth="1"/>
    <col min="2582" max="2816" width="9.140625" style="474"/>
    <col min="2817" max="2817" width="63.85546875" style="474" bestFit="1" customWidth="1"/>
    <col min="2818" max="2818" width="11.5703125" style="474" bestFit="1" customWidth="1"/>
    <col min="2819" max="2829" width="0" style="474" hidden="1" customWidth="1"/>
    <col min="2830" max="2830" width="14.7109375" style="474" customWidth="1"/>
    <col min="2831" max="2837" width="0" style="474" hidden="1" customWidth="1"/>
    <col min="2838" max="3072" width="9.140625" style="474"/>
    <col min="3073" max="3073" width="63.85546875" style="474" bestFit="1" customWidth="1"/>
    <col min="3074" max="3074" width="11.5703125" style="474" bestFit="1" customWidth="1"/>
    <col min="3075" max="3085" width="0" style="474" hidden="1" customWidth="1"/>
    <col min="3086" max="3086" width="14.7109375" style="474" customWidth="1"/>
    <col min="3087" max="3093" width="0" style="474" hidden="1" customWidth="1"/>
    <col min="3094" max="3328" width="9.140625" style="474"/>
    <col min="3329" max="3329" width="63.85546875" style="474" bestFit="1" customWidth="1"/>
    <col min="3330" max="3330" width="11.5703125" style="474" bestFit="1" customWidth="1"/>
    <col min="3331" max="3341" width="0" style="474" hidden="1" customWidth="1"/>
    <col min="3342" max="3342" width="14.7109375" style="474" customWidth="1"/>
    <col min="3343" max="3349" width="0" style="474" hidden="1" customWidth="1"/>
    <col min="3350" max="3584" width="9.140625" style="474"/>
    <col min="3585" max="3585" width="63.85546875" style="474" bestFit="1" customWidth="1"/>
    <col min="3586" max="3586" width="11.5703125" style="474" bestFit="1" customWidth="1"/>
    <col min="3587" max="3597" width="0" style="474" hidden="1" customWidth="1"/>
    <col min="3598" max="3598" width="14.7109375" style="474" customWidth="1"/>
    <col min="3599" max="3605" width="0" style="474" hidden="1" customWidth="1"/>
    <col min="3606" max="3840" width="9.140625" style="474"/>
    <col min="3841" max="3841" width="63.85546875" style="474" bestFit="1" customWidth="1"/>
    <col min="3842" max="3842" width="11.5703125" style="474" bestFit="1" customWidth="1"/>
    <col min="3843" max="3853" width="0" style="474" hidden="1" customWidth="1"/>
    <col min="3854" max="3854" width="14.7109375" style="474" customWidth="1"/>
    <col min="3855" max="3861" width="0" style="474" hidden="1" customWidth="1"/>
    <col min="3862" max="4096" width="9.140625" style="474"/>
    <col min="4097" max="4097" width="63.85546875" style="474" bestFit="1" customWidth="1"/>
    <col min="4098" max="4098" width="11.5703125" style="474" bestFit="1" customWidth="1"/>
    <col min="4099" max="4109" width="0" style="474" hidden="1" customWidth="1"/>
    <col min="4110" max="4110" width="14.7109375" style="474" customWidth="1"/>
    <col min="4111" max="4117" width="0" style="474" hidden="1" customWidth="1"/>
    <col min="4118" max="4352" width="9.140625" style="474"/>
    <col min="4353" max="4353" width="63.85546875" style="474" bestFit="1" customWidth="1"/>
    <col min="4354" max="4354" width="11.5703125" style="474" bestFit="1" customWidth="1"/>
    <col min="4355" max="4365" width="0" style="474" hidden="1" customWidth="1"/>
    <col min="4366" max="4366" width="14.7109375" style="474" customWidth="1"/>
    <col min="4367" max="4373" width="0" style="474" hidden="1" customWidth="1"/>
    <col min="4374" max="4608" width="9.140625" style="474"/>
    <col min="4609" max="4609" width="63.85546875" style="474" bestFit="1" customWidth="1"/>
    <col min="4610" max="4610" width="11.5703125" style="474" bestFit="1" customWidth="1"/>
    <col min="4611" max="4621" width="0" style="474" hidden="1" customWidth="1"/>
    <col min="4622" max="4622" width="14.7109375" style="474" customWidth="1"/>
    <col min="4623" max="4629" width="0" style="474" hidden="1" customWidth="1"/>
    <col min="4630" max="4864" width="9.140625" style="474"/>
    <col min="4865" max="4865" width="63.85546875" style="474" bestFit="1" customWidth="1"/>
    <col min="4866" max="4866" width="11.5703125" style="474" bestFit="1" customWidth="1"/>
    <col min="4867" max="4877" width="0" style="474" hidden="1" customWidth="1"/>
    <col min="4878" max="4878" width="14.7109375" style="474" customWidth="1"/>
    <col min="4879" max="4885" width="0" style="474" hidden="1" customWidth="1"/>
    <col min="4886" max="5120" width="9.140625" style="474"/>
    <col min="5121" max="5121" width="63.85546875" style="474" bestFit="1" customWidth="1"/>
    <col min="5122" max="5122" width="11.5703125" style="474" bestFit="1" customWidth="1"/>
    <col min="5123" max="5133" width="0" style="474" hidden="1" customWidth="1"/>
    <col min="5134" max="5134" width="14.7109375" style="474" customWidth="1"/>
    <col min="5135" max="5141" width="0" style="474" hidden="1" customWidth="1"/>
    <col min="5142" max="5376" width="9.140625" style="474"/>
    <col min="5377" max="5377" width="63.85546875" style="474" bestFit="1" customWidth="1"/>
    <col min="5378" max="5378" width="11.5703125" style="474" bestFit="1" customWidth="1"/>
    <col min="5379" max="5389" width="0" style="474" hidden="1" customWidth="1"/>
    <col min="5390" max="5390" width="14.7109375" style="474" customWidth="1"/>
    <col min="5391" max="5397" width="0" style="474" hidden="1" customWidth="1"/>
    <col min="5398" max="5632" width="9.140625" style="474"/>
    <col min="5633" max="5633" width="63.85546875" style="474" bestFit="1" customWidth="1"/>
    <col min="5634" max="5634" width="11.5703125" style="474" bestFit="1" customWidth="1"/>
    <col min="5635" max="5645" width="0" style="474" hidden="1" customWidth="1"/>
    <col min="5646" max="5646" width="14.7109375" style="474" customWidth="1"/>
    <col min="5647" max="5653" width="0" style="474" hidden="1" customWidth="1"/>
    <col min="5654" max="5888" width="9.140625" style="474"/>
    <col min="5889" max="5889" width="63.85546875" style="474" bestFit="1" customWidth="1"/>
    <col min="5890" max="5890" width="11.5703125" style="474" bestFit="1" customWidth="1"/>
    <col min="5891" max="5901" width="0" style="474" hidden="1" customWidth="1"/>
    <col min="5902" max="5902" width="14.7109375" style="474" customWidth="1"/>
    <col min="5903" max="5909" width="0" style="474" hidden="1" customWidth="1"/>
    <col min="5910" max="6144" width="9.140625" style="474"/>
    <col min="6145" max="6145" width="63.85546875" style="474" bestFit="1" customWidth="1"/>
    <col min="6146" max="6146" width="11.5703125" style="474" bestFit="1" customWidth="1"/>
    <col min="6147" max="6157" width="0" style="474" hidden="1" customWidth="1"/>
    <col min="6158" max="6158" width="14.7109375" style="474" customWidth="1"/>
    <col min="6159" max="6165" width="0" style="474" hidden="1" customWidth="1"/>
    <col min="6166" max="6400" width="9.140625" style="474"/>
    <col min="6401" max="6401" width="63.85546875" style="474" bestFit="1" customWidth="1"/>
    <col min="6402" max="6402" width="11.5703125" style="474" bestFit="1" customWidth="1"/>
    <col min="6403" max="6413" width="0" style="474" hidden="1" customWidth="1"/>
    <col min="6414" max="6414" width="14.7109375" style="474" customWidth="1"/>
    <col min="6415" max="6421" width="0" style="474" hidden="1" customWidth="1"/>
    <col min="6422" max="6656" width="9.140625" style="474"/>
    <col min="6657" max="6657" width="63.85546875" style="474" bestFit="1" customWidth="1"/>
    <col min="6658" max="6658" width="11.5703125" style="474" bestFit="1" customWidth="1"/>
    <col min="6659" max="6669" width="0" style="474" hidden="1" customWidth="1"/>
    <col min="6670" max="6670" width="14.7109375" style="474" customWidth="1"/>
    <col min="6671" max="6677" width="0" style="474" hidden="1" customWidth="1"/>
    <col min="6678" max="6912" width="9.140625" style="474"/>
    <col min="6913" max="6913" width="63.85546875" style="474" bestFit="1" customWidth="1"/>
    <col min="6914" max="6914" width="11.5703125" style="474" bestFit="1" customWidth="1"/>
    <col min="6915" max="6925" width="0" style="474" hidden="1" customWidth="1"/>
    <col min="6926" max="6926" width="14.7109375" style="474" customWidth="1"/>
    <col min="6927" max="6933" width="0" style="474" hidden="1" customWidth="1"/>
    <col min="6934" max="7168" width="9.140625" style="474"/>
    <col min="7169" max="7169" width="63.85546875" style="474" bestFit="1" customWidth="1"/>
    <col min="7170" max="7170" width="11.5703125" style="474" bestFit="1" customWidth="1"/>
    <col min="7171" max="7181" width="0" style="474" hidden="1" customWidth="1"/>
    <col min="7182" max="7182" width="14.7109375" style="474" customWidth="1"/>
    <col min="7183" max="7189" width="0" style="474" hidden="1" customWidth="1"/>
    <col min="7190" max="7424" width="9.140625" style="474"/>
    <col min="7425" max="7425" width="63.85546875" style="474" bestFit="1" customWidth="1"/>
    <col min="7426" max="7426" width="11.5703125" style="474" bestFit="1" customWidth="1"/>
    <col min="7427" max="7437" width="0" style="474" hidden="1" customWidth="1"/>
    <col min="7438" max="7438" width="14.7109375" style="474" customWidth="1"/>
    <col min="7439" max="7445" width="0" style="474" hidden="1" customWidth="1"/>
    <col min="7446" max="7680" width="9.140625" style="474"/>
    <col min="7681" max="7681" width="63.85546875" style="474" bestFit="1" customWidth="1"/>
    <col min="7682" max="7682" width="11.5703125" style="474" bestFit="1" customWidth="1"/>
    <col min="7683" max="7693" width="0" style="474" hidden="1" customWidth="1"/>
    <col min="7694" max="7694" width="14.7109375" style="474" customWidth="1"/>
    <col min="7695" max="7701" width="0" style="474" hidden="1" customWidth="1"/>
    <col min="7702" max="7936" width="9.140625" style="474"/>
    <col min="7937" max="7937" width="63.85546875" style="474" bestFit="1" customWidth="1"/>
    <col min="7938" max="7938" width="11.5703125" style="474" bestFit="1" customWidth="1"/>
    <col min="7939" max="7949" width="0" style="474" hidden="1" customWidth="1"/>
    <col min="7950" max="7950" width="14.7109375" style="474" customWidth="1"/>
    <col min="7951" max="7957" width="0" style="474" hidden="1" customWidth="1"/>
    <col min="7958" max="8192" width="9.140625" style="474"/>
    <col min="8193" max="8193" width="63.85546875" style="474" bestFit="1" customWidth="1"/>
    <col min="8194" max="8194" width="11.5703125" style="474" bestFit="1" customWidth="1"/>
    <col min="8195" max="8205" width="0" style="474" hidden="1" customWidth="1"/>
    <col min="8206" max="8206" width="14.7109375" style="474" customWidth="1"/>
    <col min="8207" max="8213" width="0" style="474" hidden="1" customWidth="1"/>
    <col min="8214" max="8448" width="9.140625" style="474"/>
    <col min="8449" max="8449" width="63.85546875" style="474" bestFit="1" customWidth="1"/>
    <col min="8450" max="8450" width="11.5703125" style="474" bestFit="1" customWidth="1"/>
    <col min="8451" max="8461" width="0" style="474" hidden="1" customWidth="1"/>
    <col min="8462" max="8462" width="14.7109375" style="474" customWidth="1"/>
    <col min="8463" max="8469" width="0" style="474" hidden="1" customWidth="1"/>
    <col min="8470" max="8704" width="9.140625" style="474"/>
    <col min="8705" max="8705" width="63.85546875" style="474" bestFit="1" customWidth="1"/>
    <col min="8706" max="8706" width="11.5703125" style="474" bestFit="1" customWidth="1"/>
    <col min="8707" max="8717" width="0" style="474" hidden="1" customWidth="1"/>
    <col min="8718" max="8718" width="14.7109375" style="474" customWidth="1"/>
    <col min="8719" max="8725" width="0" style="474" hidden="1" customWidth="1"/>
    <col min="8726" max="8960" width="9.140625" style="474"/>
    <col min="8961" max="8961" width="63.85546875" style="474" bestFit="1" customWidth="1"/>
    <col min="8962" max="8962" width="11.5703125" style="474" bestFit="1" customWidth="1"/>
    <col min="8963" max="8973" width="0" style="474" hidden="1" customWidth="1"/>
    <col min="8974" max="8974" width="14.7109375" style="474" customWidth="1"/>
    <col min="8975" max="8981" width="0" style="474" hidden="1" customWidth="1"/>
    <col min="8982" max="9216" width="9.140625" style="474"/>
    <col min="9217" max="9217" width="63.85546875" style="474" bestFit="1" customWidth="1"/>
    <col min="9218" max="9218" width="11.5703125" style="474" bestFit="1" customWidth="1"/>
    <col min="9219" max="9229" width="0" style="474" hidden="1" customWidth="1"/>
    <col min="9230" max="9230" width="14.7109375" style="474" customWidth="1"/>
    <col min="9231" max="9237" width="0" style="474" hidden="1" customWidth="1"/>
    <col min="9238" max="9472" width="9.140625" style="474"/>
    <col min="9473" max="9473" width="63.85546875" style="474" bestFit="1" customWidth="1"/>
    <col min="9474" max="9474" width="11.5703125" style="474" bestFit="1" customWidth="1"/>
    <col min="9475" max="9485" width="0" style="474" hidden="1" customWidth="1"/>
    <col min="9486" max="9486" width="14.7109375" style="474" customWidth="1"/>
    <col min="9487" max="9493" width="0" style="474" hidden="1" customWidth="1"/>
    <col min="9494" max="9728" width="9.140625" style="474"/>
    <col min="9729" max="9729" width="63.85546875" style="474" bestFit="1" customWidth="1"/>
    <col min="9730" max="9730" width="11.5703125" style="474" bestFit="1" customWidth="1"/>
    <col min="9731" max="9741" width="0" style="474" hidden="1" customWidth="1"/>
    <col min="9742" max="9742" width="14.7109375" style="474" customWidth="1"/>
    <col min="9743" max="9749" width="0" style="474" hidden="1" customWidth="1"/>
    <col min="9750" max="9984" width="9.140625" style="474"/>
    <col min="9985" max="9985" width="63.85546875" style="474" bestFit="1" customWidth="1"/>
    <col min="9986" max="9986" width="11.5703125" style="474" bestFit="1" customWidth="1"/>
    <col min="9987" max="9997" width="0" style="474" hidden="1" customWidth="1"/>
    <col min="9998" max="9998" width="14.7109375" style="474" customWidth="1"/>
    <col min="9999" max="10005" width="0" style="474" hidden="1" customWidth="1"/>
    <col min="10006" max="10240" width="9.140625" style="474"/>
    <col min="10241" max="10241" width="63.85546875" style="474" bestFit="1" customWidth="1"/>
    <col min="10242" max="10242" width="11.5703125" style="474" bestFit="1" customWidth="1"/>
    <col min="10243" max="10253" width="0" style="474" hidden="1" customWidth="1"/>
    <col min="10254" max="10254" width="14.7109375" style="474" customWidth="1"/>
    <col min="10255" max="10261" width="0" style="474" hidden="1" customWidth="1"/>
    <col min="10262" max="10496" width="9.140625" style="474"/>
    <col min="10497" max="10497" width="63.85546875" style="474" bestFit="1" customWidth="1"/>
    <col min="10498" max="10498" width="11.5703125" style="474" bestFit="1" customWidth="1"/>
    <col min="10499" max="10509" width="0" style="474" hidden="1" customWidth="1"/>
    <col min="10510" max="10510" width="14.7109375" style="474" customWidth="1"/>
    <col min="10511" max="10517" width="0" style="474" hidden="1" customWidth="1"/>
    <col min="10518" max="10752" width="9.140625" style="474"/>
    <col min="10753" max="10753" width="63.85546875" style="474" bestFit="1" customWidth="1"/>
    <col min="10754" max="10754" width="11.5703125" style="474" bestFit="1" customWidth="1"/>
    <col min="10755" max="10765" width="0" style="474" hidden="1" customWidth="1"/>
    <col min="10766" max="10766" width="14.7109375" style="474" customWidth="1"/>
    <col min="10767" max="10773" width="0" style="474" hidden="1" customWidth="1"/>
    <col min="10774" max="11008" width="9.140625" style="474"/>
    <col min="11009" max="11009" width="63.85546875" style="474" bestFit="1" customWidth="1"/>
    <col min="11010" max="11010" width="11.5703125" style="474" bestFit="1" customWidth="1"/>
    <col min="11011" max="11021" width="0" style="474" hidden="1" customWidth="1"/>
    <col min="11022" max="11022" width="14.7109375" style="474" customWidth="1"/>
    <col min="11023" max="11029" width="0" style="474" hidden="1" customWidth="1"/>
    <col min="11030" max="11264" width="9.140625" style="474"/>
    <col min="11265" max="11265" width="63.85546875" style="474" bestFit="1" customWidth="1"/>
    <col min="11266" max="11266" width="11.5703125" style="474" bestFit="1" customWidth="1"/>
    <col min="11267" max="11277" width="0" style="474" hidden="1" customWidth="1"/>
    <col min="11278" max="11278" width="14.7109375" style="474" customWidth="1"/>
    <col min="11279" max="11285" width="0" style="474" hidden="1" customWidth="1"/>
    <col min="11286" max="11520" width="9.140625" style="474"/>
    <col min="11521" max="11521" width="63.85546875" style="474" bestFit="1" customWidth="1"/>
    <col min="11522" max="11522" width="11.5703125" style="474" bestFit="1" customWidth="1"/>
    <col min="11523" max="11533" width="0" style="474" hidden="1" customWidth="1"/>
    <col min="11534" max="11534" width="14.7109375" style="474" customWidth="1"/>
    <col min="11535" max="11541" width="0" style="474" hidden="1" customWidth="1"/>
    <col min="11542" max="11776" width="9.140625" style="474"/>
    <col min="11777" max="11777" width="63.85546875" style="474" bestFit="1" customWidth="1"/>
    <col min="11778" max="11778" width="11.5703125" style="474" bestFit="1" customWidth="1"/>
    <col min="11779" max="11789" width="0" style="474" hidden="1" customWidth="1"/>
    <col min="11790" max="11790" width="14.7109375" style="474" customWidth="1"/>
    <col min="11791" max="11797" width="0" style="474" hidden="1" customWidth="1"/>
    <col min="11798" max="12032" width="9.140625" style="474"/>
    <col min="12033" max="12033" width="63.85546875" style="474" bestFit="1" customWidth="1"/>
    <col min="12034" max="12034" width="11.5703125" style="474" bestFit="1" customWidth="1"/>
    <col min="12035" max="12045" width="0" style="474" hidden="1" customWidth="1"/>
    <col min="12046" max="12046" width="14.7109375" style="474" customWidth="1"/>
    <col min="12047" max="12053" width="0" style="474" hidden="1" customWidth="1"/>
    <col min="12054" max="12288" width="9.140625" style="474"/>
    <col min="12289" max="12289" width="63.85546875" style="474" bestFit="1" customWidth="1"/>
    <col min="12290" max="12290" width="11.5703125" style="474" bestFit="1" customWidth="1"/>
    <col min="12291" max="12301" width="0" style="474" hidden="1" customWidth="1"/>
    <col min="12302" max="12302" width="14.7109375" style="474" customWidth="1"/>
    <col min="12303" max="12309" width="0" style="474" hidden="1" customWidth="1"/>
    <col min="12310" max="12544" width="9.140625" style="474"/>
    <col min="12545" max="12545" width="63.85546875" style="474" bestFit="1" customWidth="1"/>
    <col min="12546" max="12546" width="11.5703125" style="474" bestFit="1" customWidth="1"/>
    <col min="12547" max="12557" width="0" style="474" hidden="1" customWidth="1"/>
    <col min="12558" max="12558" width="14.7109375" style="474" customWidth="1"/>
    <col min="12559" max="12565" width="0" style="474" hidden="1" customWidth="1"/>
    <col min="12566" max="12800" width="9.140625" style="474"/>
    <col min="12801" max="12801" width="63.85546875" style="474" bestFit="1" customWidth="1"/>
    <col min="12802" max="12802" width="11.5703125" style="474" bestFit="1" customWidth="1"/>
    <col min="12803" max="12813" width="0" style="474" hidden="1" customWidth="1"/>
    <col min="12814" max="12814" width="14.7109375" style="474" customWidth="1"/>
    <col min="12815" max="12821" width="0" style="474" hidden="1" customWidth="1"/>
    <col min="12822" max="13056" width="9.140625" style="474"/>
    <col min="13057" max="13057" width="63.85546875" style="474" bestFit="1" customWidth="1"/>
    <col min="13058" max="13058" width="11.5703125" style="474" bestFit="1" customWidth="1"/>
    <col min="13059" max="13069" width="0" style="474" hidden="1" customWidth="1"/>
    <col min="13070" max="13070" width="14.7109375" style="474" customWidth="1"/>
    <col min="13071" max="13077" width="0" style="474" hidden="1" customWidth="1"/>
    <col min="13078" max="13312" width="9.140625" style="474"/>
    <col min="13313" max="13313" width="63.85546875" style="474" bestFit="1" customWidth="1"/>
    <col min="13314" max="13314" width="11.5703125" style="474" bestFit="1" customWidth="1"/>
    <col min="13315" max="13325" width="0" style="474" hidden="1" customWidth="1"/>
    <col min="13326" max="13326" width="14.7109375" style="474" customWidth="1"/>
    <col min="13327" max="13333" width="0" style="474" hidden="1" customWidth="1"/>
    <col min="13334" max="13568" width="9.140625" style="474"/>
    <col min="13569" max="13569" width="63.85546875" style="474" bestFit="1" customWidth="1"/>
    <col min="13570" max="13570" width="11.5703125" style="474" bestFit="1" customWidth="1"/>
    <col min="13571" max="13581" width="0" style="474" hidden="1" customWidth="1"/>
    <col min="13582" max="13582" width="14.7109375" style="474" customWidth="1"/>
    <col min="13583" max="13589" width="0" style="474" hidden="1" customWidth="1"/>
    <col min="13590" max="13824" width="9.140625" style="474"/>
    <col min="13825" max="13825" width="63.85546875" style="474" bestFit="1" customWidth="1"/>
    <col min="13826" max="13826" width="11.5703125" style="474" bestFit="1" customWidth="1"/>
    <col min="13827" max="13837" width="0" style="474" hidden="1" customWidth="1"/>
    <col min="13838" max="13838" width="14.7109375" style="474" customWidth="1"/>
    <col min="13839" max="13845" width="0" style="474" hidden="1" customWidth="1"/>
    <col min="13846" max="14080" width="9.140625" style="474"/>
    <col min="14081" max="14081" width="63.85546875" style="474" bestFit="1" customWidth="1"/>
    <col min="14082" max="14082" width="11.5703125" style="474" bestFit="1" customWidth="1"/>
    <col min="14083" max="14093" width="0" style="474" hidden="1" customWidth="1"/>
    <col min="14094" max="14094" width="14.7109375" style="474" customWidth="1"/>
    <col min="14095" max="14101" width="0" style="474" hidden="1" customWidth="1"/>
    <col min="14102" max="14336" width="9.140625" style="474"/>
    <col min="14337" max="14337" width="63.85546875" style="474" bestFit="1" customWidth="1"/>
    <col min="14338" max="14338" width="11.5703125" style="474" bestFit="1" customWidth="1"/>
    <col min="14339" max="14349" width="0" style="474" hidden="1" customWidth="1"/>
    <col min="14350" max="14350" width="14.7109375" style="474" customWidth="1"/>
    <col min="14351" max="14357" width="0" style="474" hidden="1" customWidth="1"/>
    <col min="14358" max="14592" width="9.140625" style="474"/>
    <col min="14593" max="14593" width="63.85546875" style="474" bestFit="1" customWidth="1"/>
    <col min="14594" max="14594" width="11.5703125" style="474" bestFit="1" customWidth="1"/>
    <col min="14595" max="14605" width="0" style="474" hidden="1" customWidth="1"/>
    <col min="14606" max="14606" width="14.7109375" style="474" customWidth="1"/>
    <col min="14607" max="14613" width="0" style="474" hidden="1" customWidth="1"/>
    <col min="14614" max="14848" width="9.140625" style="474"/>
    <col min="14849" max="14849" width="63.85546875" style="474" bestFit="1" customWidth="1"/>
    <col min="14850" max="14850" width="11.5703125" style="474" bestFit="1" customWidth="1"/>
    <col min="14851" max="14861" width="0" style="474" hidden="1" customWidth="1"/>
    <col min="14862" max="14862" width="14.7109375" style="474" customWidth="1"/>
    <col min="14863" max="14869" width="0" style="474" hidden="1" customWidth="1"/>
    <col min="14870" max="15104" width="9.140625" style="474"/>
    <col min="15105" max="15105" width="63.85546875" style="474" bestFit="1" customWidth="1"/>
    <col min="15106" max="15106" width="11.5703125" style="474" bestFit="1" customWidth="1"/>
    <col min="15107" max="15117" width="0" style="474" hidden="1" customWidth="1"/>
    <col min="15118" max="15118" width="14.7109375" style="474" customWidth="1"/>
    <col min="15119" max="15125" width="0" style="474" hidden="1" customWidth="1"/>
    <col min="15126" max="15360" width="9.140625" style="474"/>
    <col min="15361" max="15361" width="63.85546875" style="474" bestFit="1" customWidth="1"/>
    <col min="15362" max="15362" width="11.5703125" style="474" bestFit="1" customWidth="1"/>
    <col min="15363" max="15373" width="0" style="474" hidden="1" customWidth="1"/>
    <col min="15374" max="15374" width="14.7109375" style="474" customWidth="1"/>
    <col min="15375" max="15381" width="0" style="474" hidden="1" customWidth="1"/>
    <col min="15382" max="15616" width="9.140625" style="474"/>
    <col min="15617" max="15617" width="63.85546875" style="474" bestFit="1" customWidth="1"/>
    <col min="15618" max="15618" width="11.5703125" style="474" bestFit="1" customWidth="1"/>
    <col min="15619" max="15629" width="0" style="474" hidden="1" customWidth="1"/>
    <col min="15630" max="15630" width="14.7109375" style="474" customWidth="1"/>
    <col min="15631" max="15637" width="0" style="474" hidden="1" customWidth="1"/>
    <col min="15638" max="15872" width="9.140625" style="474"/>
    <col min="15873" max="15873" width="63.85546875" style="474" bestFit="1" customWidth="1"/>
    <col min="15874" max="15874" width="11.5703125" style="474" bestFit="1" customWidth="1"/>
    <col min="15875" max="15885" width="0" style="474" hidden="1" customWidth="1"/>
    <col min="15886" max="15886" width="14.7109375" style="474" customWidth="1"/>
    <col min="15887" max="15893" width="0" style="474" hidden="1" customWidth="1"/>
    <col min="15894" max="16128" width="9.140625" style="474"/>
    <col min="16129" max="16129" width="63.85546875" style="474" bestFit="1" customWidth="1"/>
    <col min="16130" max="16130" width="11.5703125" style="474" bestFit="1" customWidth="1"/>
    <col min="16131" max="16141" width="0" style="474" hidden="1" customWidth="1"/>
    <col min="16142" max="16142" width="14.7109375" style="474" customWidth="1"/>
    <col min="16143" max="16149" width="0" style="474" hidden="1" customWidth="1"/>
    <col min="16150" max="16384" width="9.140625" style="474"/>
  </cols>
  <sheetData>
    <row r="1" spans="1:19" s="466" customFormat="1" ht="15.75">
      <c r="A1" s="567" t="s">
        <v>304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Q1" s="467"/>
      <c r="R1" s="468"/>
      <c r="S1" s="469"/>
    </row>
    <row r="2" spans="1:19" s="466" customFormat="1" ht="15.75">
      <c r="A2" s="569" t="s">
        <v>305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Q2" s="470"/>
      <c r="R2" s="471"/>
      <c r="S2" s="469"/>
    </row>
    <row r="3" spans="1:19" s="466" customFormat="1" ht="15.75">
      <c r="A3" s="571" t="str">
        <f>R4</f>
        <v>March 2017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Q3" s="470"/>
      <c r="R3" s="471"/>
      <c r="S3" s="469"/>
    </row>
    <row r="4" spans="1:19" s="466" customFormat="1">
      <c r="A4" s="472"/>
      <c r="B4" s="472"/>
      <c r="C4" s="472"/>
      <c r="D4" s="472"/>
      <c r="E4" s="472"/>
      <c r="F4" s="472"/>
      <c r="G4" s="472"/>
      <c r="H4" s="453"/>
      <c r="I4" s="453"/>
      <c r="J4" s="453"/>
      <c r="K4" s="453"/>
      <c r="L4" s="453"/>
      <c r="M4" s="453"/>
      <c r="N4" s="453"/>
      <c r="Q4" s="470" t="s">
        <v>408</v>
      </c>
      <c r="R4" s="471" t="str">
        <f>TEXT(S4,"mmmm yyyy")</f>
        <v>March 2017</v>
      </c>
      <c r="S4" s="473">
        <v>42825</v>
      </c>
    </row>
    <row r="5" spans="1:19">
      <c r="A5" s="472"/>
      <c r="B5" s="472"/>
      <c r="C5" s="472"/>
      <c r="D5" s="472"/>
      <c r="E5" s="472"/>
      <c r="F5" s="472"/>
      <c r="G5" s="472"/>
      <c r="H5" s="461"/>
      <c r="I5" s="461"/>
      <c r="J5" s="461"/>
      <c r="K5" s="472"/>
      <c r="L5" s="472"/>
      <c r="M5" s="472"/>
      <c r="N5" s="472"/>
      <c r="Q5" s="470" t="s">
        <v>415</v>
      </c>
      <c r="R5" s="471" t="str">
        <f>S5</f>
        <v>.</v>
      </c>
      <c r="S5" s="469" t="s">
        <v>410</v>
      </c>
    </row>
    <row r="6" spans="1:19" ht="15.75">
      <c r="A6" s="109"/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 t="str">
        <f>"FY "&amp;$R$6&amp;" YTD"</f>
        <v>FY 2017 YTD</v>
      </c>
      <c r="Q6" s="470" t="s">
        <v>411</v>
      </c>
      <c r="R6" s="471" t="str">
        <f>S6</f>
        <v>2017</v>
      </c>
      <c r="S6" s="469" t="s">
        <v>412</v>
      </c>
    </row>
    <row r="7" spans="1:19" ht="16.5" thickBot="1">
      <c r="A7" s="109"/>
      <c r="B7" s="463" t="str">
        <f>"9/1/2"&amp;$R$10</f>
        <v>9/1/2016</v>
      </c>
      <c r="C7" s="536" t="str">
        <f>"Oct 2"&amp;$R$10</f>
        <v>Oct 2016</v>
      </c>
      <c r="D7" s="536" t="str">
        <f>"Nov 2"&amp;$R$10</f>
        <v>Nov 2016</v>
      </c>
      <c r="E7" s="536" t="str">
        <f>"Dec 2"&amp;$R$10</f>
        <v>Dec 2016</v>
      </c>
      <c r="F7" s="536" t="str">
        <f>"Jan "&amp;$R$6</f>
        <v>Jan 2017</v>
      </c>
      <c r="G7" s="536" t="str">
        <f>"Feb "&amp;$R$6</f>
        <v>Feb 2017</v>
      </c>
      <c r="H7" s="536" t="str">
        <f>"Mar "&amp;$R$6</f>
        <v>Mar 2017</v>
      </c>
      <c r="I7" s="536" t="str">
        <f>"Apr "&amp;$R$6</f>
        <v>Apr 2017</v>
      </c>
      <c r="J7" s="536" t="str">
        <f>"May "&amp;$R$6</f>
        <v>May 2017</v>
      </c>
      <c r="K7" s="536" t="str">
        <f>"Jun "&amp;$R$6</f>
        <v>Jun 2017</v>
      </c>
      <c r="L7" s="536" t="str">
        <f>"Jul "&amp;$R$6</f>
        <v>Jul 2017</v>
      </c>
      <c r="M7" s="536" t="str">
        <f>"Aug "&amp;$R$6</f>
        <v>Aug 2017</v>
      </c>
      <c r="N7" s="536" t="str">
        <f>"as of "&amp;R8</f>
        <v>as of 03/31/17</v>
      </c>
      <c r="Q7" s="470" t="s">
        <v>413</v>
      </c>
      <c r="R7" s="471" t="str">
        <f>TEXT(S7,"mmmm-dd-yyyy")</f>
        <v>March-31-2017</v>
      </c>
      <c r="S7" s="473">
        <f>S4</f>
        <v>42825</v>
      </c>
    </row>
    <row r="8" spans="1:19" ht="16.5" thickTop="1">
      <c r="A8" s="109"/>
      <c r="B8" s="109"/>
      <c r="C8" s="109"/>
      <c r="D8" s="109"/>
      <c r="E8" s="109"/>
      <c r="F8" s="109"/>
      <c r="G8" s="109"/>
      <c r="H8" s="102"/>
      <c r="I8" s="102"/>
      <c r="J8" s="102"/>
      <c r="K8" s="109"/>
      <c r="L8" s="109"/>
      <c r="M8" s="109"/>
      <c r="N8" s="109"/>
      <c r="Q8" s="470" t="s">
        <v>413</v>
      </c>
      <c r="R8" s="471" t="str">
        <f>TEXT(S8,"mm/dd/yy")</f>
        <v>03/31/17</v>
      </c>
      <c r="S8" s="473">
        <f>S4</f>
        <v>42825</v>
      </c>
    </row>
    <row r="9" spans="1:19" ht="16.5" thickBot="1">
      <c r="A9" s="542" t="s">
        <v>302</v>
      </c>
      <c r="B9" s="114">
        <v>0</v>
      </c>
      <c r="C9" s="115">
        <f>B9</f>
        <v>0</v>
      </c>
      <c r="D9" s="115">
        <f t="shared" ref="D9:M9" si="0">C9</f>
        <v>0</v>
      </c>
      <c r="E9" s="115">
        <f t="shared" si="0"/>
        <v>0</v>
      </c>
      <c r="F9" s="115">
        <f t="shared" si="0"/>
        <v>0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475">
        <f>+M33</f>
        <v>0</v>
      </c>
      <c r="Q9" s="470" t="s">
        <v>411</v>
      </c>
      <c r="R9" s="471">
        <f>S9</f>
        <v>17</v>
      </c>
      <c r="S9" s="469">
        <v>17</v>
      </c>
    </row>
    <row r="10" spans="1:19" ht="15.75">
      <c r="A10" s="109"/>
      <c r="B10" s="109"/>
      <c r="C10" s="109"/>
      <c r="D10" s="109"/>
      <c r="E10" s="109"/>
      <c r="F10" s="109"/>
      <c r="G10" s="109"/>
      <c r="H10" s="102"/>
      <c r="I10" s="102"/>
      <c r="J10" s="102"/>
      <c r="K10" s="109"/>
      <c r="L10" s="109"/>
      <c r="M10" s="109"/>
      <c r="N10" s="109"/>
      <c r="Q10" s="529" t="s">
        <v>414</v>
      </c>
      <c r="R10" s="530" t="str">
        <f>"0"&amp;S10</f>
        <v>016</v>
      </c>
      <c r="S10" s="469">
        <v>16</v>
      </c>
    </row>
    <row r="11" spans="1:19" ht="15.75">
      <c r="A11" s="108" t="s">
        <v>301</v>
      </c>
      <c r="B11" s="109"/>
      <c r="C11" s="109"/>
      <c r="D11" s="109"/>
      <c r="E11" s="109"/>
      <c r="F11" s="109"/>
      <c r="G11" s="109"/>
      <c r="H11" s="102"/>
      <c r="I11" s="102"/>
      <c r="J11" s="102"/>
      <c r="K11" s="109"/>
      <c r="L11" s="109"/>
      <c r="M11" s="109"/>
      <c r="N11" s="109"/>
    </row>
    <row r="12" spans="1:19" ht="15.75">
      <c r="A12" s="109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9"/>
    </row>
    <row r="13" spans="1:19" ht="15.75">
      <c r="A13" s="109" t="s">
        <v>306</v>
      </c>
      <c r="B13" s="109">
        <v>951.59</v>
      </c>
      <c r="C13" s="109">
        <v>3058.69</v>
      </c>
      <c r="D13" s="109">
        <v>985472.71</v>
      </c>
      <c r="E13" s="109">
        <v>18023.12</v>
      </c>
      <c r="F13" s="109">
        <v>509.7</v>
      </c>
      <c r="G13" s="109">
        <v>132020.18</v>
      </c>
      <c r="H13" s="109">
        <v>886207.24</v>
      </c>
      <c r="I13" s="109"/>
      <c r="J13" s="109"/>
      <c r="K13" s="109"/>
      <c r="L13" s="109"/>
      <c r="M13" s="109"/>
      <c r="N13" s="109">
        <f>ROUND(SUM(B13:M13),0)</f>
        <v>2026243</v>
      </c>
    </row>
    <row r="14" spans="1:19" ht="15.75">
      <c r="A14" s="112" t="s">
        <v>300</v>
      </c>
      <c r="B14" s="109">
        <v>8683.19</v>
      </c>
      <c r="C14" s="109">
        <v>8833.75</v>
      </c>
      <c r="D14" s="109">
        <v>9553.48</v>
      </c>
      <c r="E14" s="109">
        <v>8772.65</v>
      </c>
      <c r="F14" s="109">
        <v>9805.52</v>
      </c>
      <c r="G14" s="109">
        <v>10117.17</v>
      </c>
      <c r="H14" s="109">
        <v>7573.22</v>
      </c>
      <c r="I14" s="109"/>
      <c r="J14" s="109"/>
      <c r="K14" s="109"/>
      <c r="L14" s="109"/>
      <c r="M14" s="109"/>
      <c r="N14" s="109">
        <f>SUM(B14:M14)</f>
        <v>63338.979999999996</v>
      </c>
    </row>
    <row r="15" spans="1:19" ht="15.75">
      <c r="A15" s="116" t="s">
        <v>307</v>
      </c>
      <c r="B15" s="109">
        <v>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/>
      <c r="I15" s="109"/>
      <c r="J15" s="109"/>
      <c r="K15" s="109"/>
      <c r="L15" s="109"/>
      <c r="M15" s="109"/>
      <c r="N15" s="109">
        <f>SUM(B15:M15)</f>
        <v>0</v>
      </c>
    </row>
    <row r="16" spans="1:19" ht="15.75">
      <c r="A16" s="109" t="s">
        <v>308</v>
      </c>
      <c r="B16" s="109">
        <v>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/>
      <c r="I16" s="109"/>
      <c r="J16" s="109"/>
      <c r="K16" s="109"/>
      <c r="L16" s="109"/>
      <c r="M16" s="109"/>
      <c r="N16" s="109">
        <f>SUM(B16:M16)</f>
        <v>0</v>
      </c>
    </row>
    <row r="17" spans="1:15" ht="15.75">
      <c r="A17" s="109" t="s">
        <v>403</v>
      </c>
      <c r="B17" s="109">
        <v>0</v>
      </c>
      <c r="C17" s="109">
        <v>0</v>
      </c>
      <c r="D17" s="109">
        <v>0</v>
      </c>
      <c r="E17" s="109">
        <v>11410309.189999999</v>
      </c>
      <c r="F17" s="109">
        <v>0</v>
      </c>
      <c r="G17" s="109">
        <v>0</v>
      </c>
      <c r="H17" s="102"/>
      <c r="I17" s="102"/>
      <c r="J17" s="102"/>
      <c r="K17" s="109"/>
      <c r="L17" s="109"/>
      <c r="M17" s="109"/>
      <c r="N17" s="109">
        <f>SUM(B17:M17)</f>
        <v>11410309.189999999</v>
      </c>
    </row>
    <row r="18" spans="1:15" ht="15.75">
      <c r="A18" s="109"/>
      <c r="B18" s="109"/>
      <c r="C18" s="109"/>
      <c r="D18" s="109"/>
      <c r="E18" s="109"/>
      <c r="F18" s="109"/>
      <c r="G18" s="109"/>
      <c r="H18" s="102"/>
      <c r="I18" s="102"/>
      <c r="J18" s="102"/>
      <c r="K18" s="109"/>
      <c r="L18" s="109"/>
      <c r="M18" s="109"/>
      <c r="N18" s="109"/>
    </row>
    <row r="19" spans="1:15" ht="15.75">
      <c r="A19" s="117" t="s">
        <v>309</v>
      </c>
      <c r="B19" s="109"/>
      <c r="C19" s="109"/>
      <c r="D19" s="109"/>
      <c r="E19" s="109"/>
      <c r="F19" s="109"/>
      <c r="G19" s="109"/>
      <c r="H19" s="102"/>
      <c r="I19" s="102"/>
      <c r="J19" s="102"/>
      <c r="K19" s="109"/>
      <c r="L19" s="109"/>
      <c r="M19" s="109"/>
      <c r="N19" s="109"/>
    </row>
    <row r="20" spans="1:15" ht="15.75">
      <c r="A20" s="109"/>
      <c r="B20" s="109"/>
      <c r="C20" s="109"/>
      <c r="D20" s="109"/>
      <c r="E20" s="109"/>
      <c r="F20" s="109"/>
      <c r="G20" s="109"/>
      <c r="H20" s="102"/>
      <c r="I20" s="102"/>
      <c r="J20" s="102"/>
      <c r="K20" s="109"/>
      <c r="L20" s="109"/>
      <c r="M20" s="109"/>
      <c r="N20" s="109"/>
    </row>
    <row r="21" spans="1:15" ht="15.75">
      <c r="A21" s="109"/>
      <c r="B21" s="109"/>
      <c r="C21" s="109"/>
      <c r="D21" s="109"/>
      <c r="E21" s="109"/>
      <c r="F21" s="109"/>
      <c r="G21" s="109"/>
      <c r="H21" s="102"/>
      <c r="I21" s="102"/>
      <c r="J21" s="102"/>
      <c r="K21" s="109"/>
      <c r="L21" s="109"/>
      <c r="M21" s="109"/>
      <c r="N21" s="109"/>
    </row>
    <row r="22" spans="1:15" ht="15.75">
      <c r="A22" s="109"/>
      <c r="B22" s="109"/>
      <c r="C22" s="109"/>
      <c r="D22" s="109"/>
      <c r="E22" s="109"/>
      <c r="F22" s="109"/>
      <c r="G22" s="109"/>
      <c r="H22" s="102"/>
      <c r="I22" s="102"/>
      <c r="J22" s="102"/>
      <c r="K22" s="109"/>
      <c r="L22" s="109"/>
      <c r="M22" s="109"/>
      <c r="N22" s="109"/>
    </row>
    <row r="23" spans="1:15" ht="15.75">
      <c r="A23" s="110" t="s">
        <v>296</v>
      </c>
      <c r="B23" s="118">
        <f t="shared" ref="B23" si="1">ROUND(SUM(B9:B16),0)</f>
        <v>9635</v>
      </c>
      <c r="C23" s="118">
        <f>ROUND(SUM(C9:C16),0)</f>
        <v>11892</v>
      </c>
      <c r="D23" s="118">
        <f>ROUND(SUM(D9:D16),0)</f>
        <v>995026</v>
      </c>
      <c r="E23" s="118">
        <f>ROUND(SUM(E9:E22),0)</f>
        <v>11437105</v>
      </c>
      <c r="F23" s="118">
        <f t="shared" ref="F23:M23" si="2">ROUND(SUM(F9:F22),0)</f>
        <v>10315</v>
      </c>
      <c r="G23" s="118">
        <f t="shared" si="2"/>
        <v>142137</v>
      </c>
      <c r="H23" s="118">
        <f t="shared" si="2"/>
        <v>893780</v>
      </c>
      <c r="I23" s="118">
        <f t="shared" si="2"/>
        <v>0</v>
      </c>
      <c r="J23" s="118">
        <f t="shared" si="2"/>
        <v>0</v>
      </c>
      <c r="K23" s="118">
        <f t="shared" si="2"/>
        <v>0</v>
      </c>
      <c r="L23" s="118">
        <f t="shared" si="2"/>
        <v>0</v>
      </c>
      <c r="M23" s="118">
        <f t="shared" si="2"/>
        <v>0</v>
      </c>
      <c r="N23" s="118">
        <f>ROUND(SUM(N9:N22),0)</f>
        <v>13499891</v>
      </c>
      <c r="O23" s="476"/>
    </row>
    <row r="24" spans="1:15" ht="15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15" ht="15.75">
      <c r="A25" s="108" t="s">
        <v>295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15" ht="15.75">
      <c r="A26" s="11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5" ht="15.75">
      <c r="A27" s="120" t="s">
        <v>310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>
        <f>SUM(B27:M27)</f>
        <v>0</v>
      </c>
    </row>
    <row r="28" spans="1:15" ht="15.75">
      <c r="A28" s="109" t="s">
        <v>311</v>
      </c>
      <c r="B28" s="109">
        <v>0</v>
      </c>
      <c r="C28" s="109">
        <v>-21527</v>
      </c>
      <c r="D28" s="109">
        <v>-995026</v>
      </c>
      <c r="E28" s="109">
        <v>-4669148</v>
      </c>
      <c r="F28" s="109"/>
      <c r="G28" s="109"/>
      <c r="H28" s="109"/>
      <c r="I28" s="109"/>
      <c r="J28" s="109"/>
      <c r="K28" s="109"/>
      <c r="L28" s="109"/>
      <c r="M28" s="109"/>
      <c r="N28" s="109">
        <f>SUM(B28:M28)</f>
        <v>-5685701</v>
      </c>
    </row>
    <row r="29" spans="1:15" ht="15.75">
      <c r="A29" s="117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</row>
    <row r="30" spans="1:15" ht="15.75">
      <c r="A30" s="117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</row>
    <row r="31" spans="1:15" ht="15.75">
      <c r="A31" s="108" t="s">
        <v>293</v>
      </c>
      <c r="B31" s="118">
        <f t="shared" ref="B31:M31" si="3">SUM(B26:B28)</f>
        <v>0</v>
      </c>
      <c r="C31" s="118">
        <f t="shared" si="3"/>
        <v>-21527</v>
      </c>
      <c r="D31" s="118">
        <f t="shared" si="3"/>
        <v>-995026</v>
      </c>
      <c r="E31" s="118">
        <f t="shared" si="3"/>
        <v>-4669148</v>
      </c>
      <c r="F31" s="118">
        <f t="shared" si="3"/>
        <v>0</v>
      </c>
      <c r="G31" s="118">
        <f t="shared" si="3"/>
        <v>0</v>
      </c>
      <c r="H31" s="118">
        <f t="shared" si="3"/>
        <v>0</v>
      </c>
      <c r="I31" s="118">
        <f t="shared" si="3"/>
        <v>0</v>
      </c>
      <c r="J31" s="118">
        <f t="shared" si="3"/>
        <v>0</v>
      </c>
      <c r="K31" s="118">
        <f t="shared" si="3"/>
        <v>0</v>
      </c>
      <c r="L31" s="118">
        <f t="shared" si="3"/>
        <v>0</v>
      </c>
      <c r="M31" s="118">
        <f t="shared" si="3"/>
        <v>0</v>
      </c>
      <c r="N31" s="118">
        <f>SUM(N25:N30)</f>
        <v>-5685701</v>
      </c>
    </row>
    <row r="32" spans="1:15" ht="15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</row>
    <row r="33" spans="1:14" ht="16.5" thickBot="1">
      <c r="A33" s="544" t="s">
        <v>292</v>
      </c>
      <c r="B33" s="121">
        <f t="shared" ref="B33" si="4">+B9+B23+B31</f>
        <v>9635</v>
      </c>
      <c r="C33" s="121">
        <f>+C23+C31</f>
        <v>-9635</v>
      </c>
      <c r="D33" s="121">
        <f t="shared" ref="D33:M33" si="5">+D23+D31</f>
        <v>0</v>
      </c>
      <c r="E33" s="121">
        <f t="shared" si="5"/>
        <v>6767957</v>
      </c>
      <c r="F33" s="121">
        <f t="shared" si="5"/>
        <v>10315</v>
      </c>
      <c r="G33" s="121">
        <f t="shared" si="5"/>
        <v>142137</v>
      </c>
      <c r="H33" s="121">
        <f t="shared" si="5"/>
        <v>893780</v>
      </c>
      <c r="I33" s="121">
        <f t="shared" si="5"/>
        <v>0</v>
      </c>
      <c r="J33" s="121">
        <f t="shared" si="5"/>
        <v>0</v>
      </c>
      <c r="K33" s="121">
        <f t="shared" si="5"/>
        <v>0</v>
      </c>
      <c r="L33" s="121">
        <f t="shared" si="5"/>
        <v>0</v>
      </c>
      <c r="M33" s="121">
        <f t="shared" si="5"/>
        <v>0</v>
      </c>
      <c r="N33" s="121">
        <f>N23+N31</f>
        <v>7814190</v>
      </c>
    </row>
    <row r="34" spans="1:14" ht="16.5" thickTop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15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">
      <c r="A36" s="477"/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</row>
    <row r="37" spans="1:14" ht="15">
      <c r="A37" s="477"/>
      <c r="B37" s="477"/>
      <c r="C37" s="477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</row>
    <row r="38" spans="1:14" ht="15">
      <c r="A38" s="477"/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</row>
    <row r="39" spans="1:14" ht="15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</row>
    <row r="40" spans="1:14" ht="15">
      <c r="A40" s="477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</row>
    <row r="41" spans="1:14" ht="15">
      <c r="A41" s="477"/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</row>
    <row r="42" spans="1:14" ht="15">
      <c r="A42" s="477"/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</row>
    <row r="43" spans="1:14" ht="15">
      <c r="A43" s="477"/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</row>
    <row r="44" spans="1:14" ht="15">
      <c r="A44" s="477"/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</row>
    <row r="45" spans="1:14" ht="15">
      <c r="A45" s="477"/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477"/>
      <c r="M45" s="477"/>
      <c r="N45" s="477"/>
    </row>
    <row r="46" spans="1:14" ht="15">
      <c r="A46" s="477"/>
      <c r="B46" s="477"/>
      <c r="C46" s="477"/>
      <c r="D46" s="477"/>
      <c r="E46" s="477"/>
      <c r="F46" s="477"/>
      <c r="G46" s="477"/>
      <c r="H46" s="477"/>
      <c r="I46" s="477"/>
      <c r="J46" s="477"/>
      <c r="K46" s="477"/>
      <c r="L46" s="477"/>
      <c r="M46" s="477"/>
      <c r="N46" s="477"/>
    </row>
    <row r="47" spans="1:14" ht="15">
      <c r="A47" s="477"/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</row>
    <row r="48" spans="1:14" ht="15">
      <c r="A48" s="477"/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</row>
    <row r="49" spans="1:14" ht="15">
      <c r="A49" s="477"/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477"/>
      <c r="M49" s="477"/>
      <c r="N49" s="477"/>
    </row>
    <row r="50" spans="1:14" ht="15">
      <c r="A50" s="477"/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477"/>
    </row>
    <row r="51" spans="1:14" ht="15">
      <c r="A51" s="477"/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  <c r="N51" s="477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W42"/>
  <sheetViews>
    <sheetView zoomScale="85" zoomScaleNormal="85" zoomScaleSheetLayoutView="85" workbookViewId="0">
      <selection activeCell="H23" sqref="H23"/>
    </sheetView>
  </sheetViews>
  <sheetFormatPr defaultColWidth="9.140625" defaultRowHeight="12.75"/>
  <cols>
    <col min="1" max="1" width="91.85546875" style="461" customWidth="1"/>
    <col min="2" max="2" width="11.28515625" style="461" hidden="1" customWidth="1"/>
    <col min="3" max="3" width="11.85546875" style="461" hidden="1" customWidth="1"/>
    <col min="4" max="4" width="12.140625" style="461" hidden="1" customWidth="1"/>
    <col min="5" max="5" width="13.28515625" style="461" hidden="1" customWidth="1"/>
    <col min="6" max="6" width="11.85546875" style="461" hidden="1" customWidth="1"/>
    <col min="7" max="7" width="13.28515625" style="461" hidden="1" customWidth="1"/>
    <col min="8" max="8" width="12.42578125" style="461" customWidth="1"/>
    <col min="9" max="9" width="12.140625" style="461" hidden="1" customWidth="1"/>
    <col min="10" max="10" width="12.5703125" style="461" hidden="1" customWidth="1"/>
    <col min="11" max="11" width="12.140625" style="461" hidden="1" customWidth="1"/>
    <col min="12" max="12" width="11.42578125" style="461" hidden="1" customWidth="1"/>
    <col min="13" max="13" width="12.42578125" style="461" hidden="1" customWidth="1"/>
    <col min="14" max="14" width="17" style="461" bestFit="1" customWidth="1"/>
    <col min="15" max="15" width="17.28515625" style="461" customWidth="1"/>
    <col min="16" max="16" width="17.28515625" style="461" hidden="1" customWidth="1"/>
    <col min="17" max="17" width="18.42578125" style="461" hidden="1" customWidth="1"/>
    <col min="18" max="18" width="16.28515625" style="461" hidden="1" customWidth="1"/>
    <col min="19" max="19" width="10.28515625" style="461" hidden="1" customWidth="1"/>
    <col min="20" max="23" width="17.28515625" style="461" hidden="1" customWidth="1"/>
    <col min="24" max="24" width="0" style="461" hidden="1" customWidth="1"/>
    <col min="25" max="256" width="9.140625" style="461"/>
    <col min="257" max="257" width="65.7109375" style="461" bestFit="1" customWidth="1"/>
    <col min="258" max="258" width="9.5703125" style="461" bestFit="1" customWidth="1"/>
    <col min="259" max="269" width="0" style="461" hidden="1" customWidth="1"/>
    <col min="270" max="270" width="14.7109375" style="461" bestFit="1" customWidth="1"/>
    <col min="271" max="275" width="0" style="461" hidden="1" customWidth="1"/>
    <col min="276" max="279" width="17.28515625" style="461" customWidth="1"/>
    <col min="280" max="512" width="9.140625" style="461"/>
    <col min="513" max="513" width="65.7109375" style="461" bestFit="1" customWidth="1"/>
    <col min="514" max="514" width="9.5703125" style="461" bestFit="1" customWidth="1"/>
    <col min="515" max="525" width="0" style="461" hidden="1" customWidth="1"/>
    <col min="526" max="526" width="14.7109375" style="461" bestFit="1" customWidth="1"/>
    <col min="527" max="531" width="0" style="461" hidden="1" customWidth="1"/>
    <col min="532" max="535" width="17.28515625" style="461" customWidth="1"/>
    <col min="536" max="768" width="9.140625" style="461"/>
    <col min="769" max="769" width="65.7109375" style="461" bestFit="1" customWidth="1"/>
    <col min="770" max="770" width="9.5703125" style="461" bestFit="1" customWidth="1"/>
    <col min="771" max="781" width="0" style="461" hidden="1" customWidth="1"/>
    <col min="782" max="782" width="14.7109375" style="461" bestFit="1" customWidth="1"/>
    <col min="783" max="787" width="0" style="461" hidden="1" customWidth="1"/>
    <col min="788" max="791" width="17.28515625" style="461" customWidth="1"/>
    <col min="792" max="1024" width="9.140625" style="461"/>
    <col min="1025" max="1025" width="65.7109375" style="461" bestFit="1" customWidth="1"/>
    <col min="1026" max="1026" width="9.5703125" style="461" bestFit="1" customWidth="1"/>
    <col min="1027" max="1037" width="0" style="461" hidden="1" customWidth="1"/>
    <col min="1038" max="1038" width="14.7109375" style="461" bestFit="1" customWidth="1"/>
    <col min="1039" max="1043" width="0" style="461" hidden="1" customWidth="1"/>
    <col min="1044" max="1047" width="17.28515625" style="461" customWidth="1"/>
    <col min="1048" max="1280" width="9.140625" style="461"/>
    <col min="1281" max="1281" width="65.7109375" style="461" bestFit="1" customWidth="1"/>
    <col min="1282" max="1282" width="9.5703125" style="461" bestFit="1" customWidth="1"/>
    <col min="1283" max="1293" width="0" style="461" hidden="1" customWidth="1"/>
    <col min="1294" max="1294" width="14.7109375" style="461" bestFit="1" customWidth="1"/>
    <col min="1295" max="1299" width="0" style="461" hidden="1" customWidth="1"/>
    <col min="1300" max="1303" width="17.28515625" style="461" customWidth="1"/>
    <col min="1304" max="1536" width="9.140625" style="461"/>
    <col min="1537" max="1537" width="65.7109375" style="461" bestFit="1" customWidth="1"/>
    <col min="1538" max="1538" width="9.5703125" style="461" bestFit="1" customWidth="1"/>
    <col min="1539" max="1549" width="0" style="461" hidden="1" customWidth="1"/>
    <col min="1550" max="1550" width="14.7109375" style="461" bestFit="1" customWidth="1"/>
    <col min="1551" max="1555" width="0" style="461" hidden="1" customWidth="1"/>
    <col min="1556" max="1559" width="17.28515625" style="461" customWidth="1"/>
    <col min="1560" max="1792" width="9.140625" style="461"/>
    <col min="1793" max="1793" width="65.7109375" style="461" bestFit="1" customWidth="1"/>
    <col min="1794" max="1794" width="9.5703125" style="461" bestFit="1" customWidth="1"/>
    <col min="1795" max="1805" width="0" style="461" hidden="1" customWidth="1"/>
    <col min="1806" max="1806" width="14.7109375" style="461" bestFit="1" customWidth="1"/>
    <col min="1807" max="1811" width="0" style="461" hidden="1" customWidth="1"/>
    <col min="1812" max="1815" width="17.28515625" style="461" customWidth="1"/>
    <col min="1816" max="2048" width="9.140625" style="461"/>
    <col min="2049" max="2049" width="65.7109375" style="461" bestFit="1" customWidth="1"/>
    <col min="2050" max="2050" width="9.5703125" style="461" bestFit="1" customWidth="1"/>
    <col min="2051" max="2061" width="0" style="461" hidden="1" customWidth="1"/>
    <col min="2062" max="2062" width="14.7109375" style="461" bestFit="1" customWidth="1"/>
    <col min="2063" max="2067" width="0" style="461" hidden="1" customWidth="1"/>
    <col min="2068" max="2071" width="17.28515625" style="461" customWidth="1"/>
    <col min="2072" max="2304" width="9.140625" style="461"/>
    <col min="2305" max="2305" width="65.7109375" style="461" bestFit="1" customWidth="1"/>
    <col min="2306" max="2306" width="9.5703125" style="461" bestFit="1" customWidth="1"/>
    <col min="2307" max="2317" width="0" style="461" hidden="1" customWidth="1"/>
    <col min="2318" max="2318" width="14.7109375" style="461" bestFit="1" customWidth="1"/>
    <col min="2319" max="2323" width="0" style="461" hidden="1" customWidth="1"/>
    <col min="2324" max="2327" width="17.28515625" style="461" customWidth="1"/>
    <col min="2328" max="2560" width="9.140625" style="461"/>
    <col min="2561" max="2561" width="65.7109375" style="461" bestFit="1" customWidth="1"/>
    <col min="2562" max="2562" width="9.5703125" style="461" bestFit="1" customWidth="1"/>
    <col min="2563" max="2573" width="0" style="461" hidden="1" customWidth="1"/>
    <col min="2574" max="2574" width="14.7109375" style="461" bestFit="1" customWidth="1"/>
    <col min="2575" max="2579" width="0" style="461" hidden="1" customWidth="1"/>
    <col min="2580" max="2583" width="17.28515625" style="461" customWidth="1"/>
    <col min="2584" max="2816" width="9.140625" style="461"/>
    <col min="2817" max="2817" width="65.7109375" style="461" bestFit="1" customWidth="1"/>
    <col min="2818" max="2818" width="9.5703125" style="461" bestFit="1" customWidth="1"/>
    <col min="2819" max="2829" width="0" style="461" hidden="1" customWidth="1"/>
    <col min="2830" max="2830" width="14.7109375" style="461" bestFit="1" customWidth="1"/>
    <col min="2831" max="2835" width="0" style="461" hidden="1" customWidth="1"/>
    <col min="2836" max="2839" width="17.28515625" style="461" customWidth="1"/>
    <col min="2840" max="3072" width="9.140625" style="461"/>
    <col min="3073" max="3073" width="65.7109375" style="461" bestFit="1" customWidth="1"/>
    <col min="3074" max="3074" width="9.5703125" style="461" bestFit="1" customWidth="1"/>
    <col min="3075" max="3085" width="0" style="461" hidden="1" customWidth="1"/>
    <col min="3086" max="3086" width="14.7109375" style="461" bestFit="1" customWidth="1"/>
    <col min="3087" max="3091" width="0" style="461" hidden="1" customWidth="1"/>
    <col min="3092" max="3095" width="17.28515625" style="461" customWidth="1"/>
    <col min="3096" max="3328" width="9.140625" style="461"/>
    <col min="3329" max="3329" width="65.7109375" style="461" bestFit="1" customWidth="1"/>
    <col min="3330" max="3330" width="9.5703125" style="461" bestFit="1" customWidth="1"/>
    <col min="3331" max="3341" width="0" style="461" hidden="1" customWidth="1"/>
    <col min="3342" max="3342" width="14.7109375" style="461" bestFit="1" customWidth="1"/>
    <col min="3343" max="3347" width="0" style="461" hidden="1" customWidth="1"/>
    <col min="3348" max="3351" width="17.28515625" style="461" customWidth="1"/>
    <col min="3352" max="3584" width="9.140625" style="461"/>
    <col min="3585" max="3585" width="65.7109375" style="461" bestFit="1" customWidth="1"/>
    <col min="3586" max="3586" width="9.5703125" style="461" bestFit="1" customWidth="1"/>
    <col min="3587" max="3597" width="0" style="461" hidden="1" customWidth="1"/>
    <col min="3598" max="3598" width="14.7109375" style="461" bestFit="1" customWidth="1"/>
    <col min="3599" max="3603" width="0" style="461" hidden="1" customWidth="1"/>
    <col min="3604" max="3607" width="17.28515625" style="461" customWidth="1"/>
    <col min="3608" max="3840" width="9.140625" style="461"/>
    <col min="3841" max="3841" width="65.7109375" style="461" bestFit="1" customWidth="1"/>
    <col min="3842" max="3842" width="9.5703125" style="461" bestFit="1" customWidth="1"/>
    <col min="3843" max="3853" width="0" style="461" hidden="1" customWidth="1"/>
    <col min="3854" max="3854" width="14.7109375" style="461" bestFit="1" customWidth="1"/>
    <col min="3855" max="3859" width="0" style="461" hidden="1" customWidth="1"/>
    <col min="3860" max="3863" width="17.28515625" style="461" customWidth="1"/>
    <col min="3864" max="4096" width="9.140625" style="461"/>
    <col min="4097" max="4097" width="65.7109375" style="461" bestFit="1" customWidth="1"/>
    <col min="4098" max="4098" width="9.5703125" style="461" bestFit="1" customWidth="1"/>
    <col min="4099" max="4109" width="0" style="461" hidden="1" customWidth="1"/>
    <col min="4110" max="4110" width="14.7109375" style="461" bestFit="1" customWidth="1"/>
    <col min="4111" max="4115" width="0" style="461" hidden="1" customWidth="1"/>
    <col min="4116" max="4119" width="17.28515625" style="461" customWidth="1"/>
    <col min="4120" max="4352" width="9.140625" style="461"/>
    <col min="4353" max="4353" width="65.7109375" style="461" bestFit="1" customWidth="1"/>
    <col min="4354" max="4354" width="9.5703125" style="461" bestFit="1" customWidth="1"/>
    <col min="4355" max="4365" width="0" style="461" hidden="1" customWidth="1"/>
    <col min="4366" max="4366" width="14.7109375" style="461" bestFit="1" customWidth="1"/>
    <col min="4367" max="4371" width="0" style="461" hidden="1" customWidth="1"/>
    <col min="4372" max="4375" width="17.28515625" style="461" customWidth="1"/>
    <col min="4376" max="4608" width="9.140625" style="461"/>
    <col min="4609" max="4609" width="65.7109375" style="461" bestFit="1" customWidth="1"/>
    <col min="4610" max="4610" width="9.5703125" style="461" bestFit="1" customWidth="1"/>
    <col min="4611" max="4621" width="0" style="461" hidden="1" customWidth="1"/>
    <col min="4622" max="4622" width="14.7109375" style="461" bestFit="1" customWidth="1"/>
    <col min="4623" max="4627" width="0" style="461" hidden="1" customWidth="1"/>
    <col min="4628" max="4631" width="17.28515625" style="461" customWidth="1"/>
    <col min="4632" max="4864" width="9.140625" style="461"/>
    <col min="4865" max="4865" width="65.7109375" style="461" bestFit="1" customWidth="1"/>
    <col min="4866" max="4866" width="9.5703125" style="461" bestFit="1" customWidth="1"/>
    <col min="4867" max="4877" width="0" style="461" hidden="1" customWidth="1"/>
    <col min="4878" max="4878" width="14.7109375" style="461" bestFit="1" customWidth="1"/>
    <col min="4879" max="4883" width="0" style="461" hidden="1" customWidth="1"/>
    <col min="4884" max="4887" width="17.28515625" style="461" customWidth="1"/>
    <col min="4888" max="5120" width="9.140625" style="461"/>
    <col min="5121" max="5121" width="65.7109375" style="461" bestFit="1" customWidth="1"/>
    <col min="5122" max="5122" width="9.5703125" style="461" bestFit="1" customWidth="1"/>
    <col min="5123" max="5133" width="0" style="461" hidden="1" customWidth="1"/>
    <col min="5134" max="5134" width="14.7109375" style="461" bestFit="1" customWidth="1"/>
    <col min="5135" max="5139" width="0" style="461" hidden="1" customWidth="1"/>
    <col min="5140" max="5143" width="17.28515625" style="461" customWidth="1"/>
    <col min="5144" max="5376" width="9.140625" style="461"/>
    <col min="5377" max="5377" width="65.7109375" style="461" bestFit="1" customWidth="1"/>
    <col min="5378" max="5378" width="9.5703125" style="461" bestFit="1" customWidth="1"/>
    <col min="5379" max="5389" width="0" style="461" hidden="1" customWidth="1"/>
    <col min="5390" max="5390" width="14.7109375" style="461" bestFit="1" customWidth="1"/>
    <col min="5391" max="5395" width="0" style="461" hidden="1" customWidth="1"/>
    <col min="5396" max="5399" width="17.28515625" style="461" customWidth="1"/>
    <col min="5400" max="5632" width="9.140625" style="461"/>
    <col min="5633" max="5633" width="65.7109375" style="461" bestFit="1" customWidth="1"/>
    <col min="5634" max="5634" width="9.5703125" style="461" bestFit="1" customWidth="1"/>
    <col min="5635" max="5645" width="0" style="461" hidden="1" customWidth="1"/>
    <col min="5646" max="5646" width="14.7109375" style="461" bestFit="1" customWidth="1"/>
    <col min="5647" max="5651" width="0" style="461" hidden="1" customWidth="1"/>
    <col min="5652" max="5655" width="17.28515625" style="461" customWidth="1"/>
    <col min="5656" max="5888" width="9.140625" style="461"/>
    <col min="5889" max="5889" width="65.7109375" style="461" bestFit="1" customWidth="1"/>
    <col min="5890" max="5890" width="9.5703125" style="461" bestFit="1" customWidth="1"/>
    <col min="5891" max="5901" width="0" style="461" hidden="1" customWidth="1"/>
    <col min="5902" max="5902" width="14.7109375" style="461" bestFit="1" customWidth="1"/>
    <col min="5903" max="5907" width="0" style="461" hidden="1" customWidth="1"/>
    <col min="5908" max="5911" width="17.28515625" style="461" customWidth="1"/>
    <col min="5912" max="6144" width="9.140625" style="461"/>
    <col min="6145" max="6145" width="65.7109375" style="461" bestFit="1" customWidth="1"/>
    <col min="6146" max="6146" width="9.5703125" style="461" bestFit="1" customWidth="1"/>
    <col min="6147" max="6157" width="0" style="461" hidden="1" customWidth="1"/>
    <col min="6158" max="6158" width="14.7109375" style="461" bestFit="1" customWidth="1"/>
    <col min="6159" max="6163" width="0" style="461" hidden="1" customWidth="1"/>
    <col min="6164" max="6167" width="17.28515625" style="461" customWidth="1"/>
    <col min="6168" max="6400" width="9.140625" style="461"/>
    <col min="6401" max="6401" width="65.7109375" style="461" bestFit="1" customWidth="1"/>
    <col min="6402" max="6402" width="9.5703125" style="461" bestFit="1" customWidth="1"/>
    <col min="6403" max="6413" width="0" style="461" hidden="1" customWidth="1"/>
    <col min="6414" max="6414" width="14.7109375" style="461" bestFit="1" customWidth="1"/>
    <col min="6415" max="6419" width="0" style="461" hidden="1" customWidth="1"/>
    <col min="6420" max="6423" width="17.28515625" style="461" customWidth="1"/>
    <col min="6424" max="6656" width="9.140625" style="461"/>
    <col min="6657" max="6657" width="65.7109375" style="461" bestFit="1" customWidth="1"/>
    <col min="6658" max="6658" width="9.5703125" style="461" bestFit="1" customWidth="1"/>
    <col min="6659" max="6669" width="0" style="461" hidden="1" customWidth="1"/>
    <col min="6670" max="6670" width="14.7109375" style="461" bestFit="1" customWidth="1"/>
    <col min="6671" max="6675" width="0" style="461" hidden="1" customWidth="1"/>
    <col min="6676" max="6679" width="17.28515625" style="461" customWidth="1"/>
    <col min="6680" max="6912" width="9.140625" style="461"/>
    <col min="6913" max="6913" width="65.7109375" style="461" bestFit="1" customWidth="1"/>
    <col min="6914" max="6914" width="9.5703125" style="461" bestFit="1" customWidth="1"/>
    <col min="6915" max="6925" width="0" style="461" hidden="1" customWidth="1"/>
    <col min="6926" max="6926" width="14.7109375" style="461" bestFit="1" customWidth="1"/>
    <col min="6927" max="6931" width="0" style="461" hidden="1" customWidth="1"/>
    <col min="6932" max="6935" width="17.28515625" style="461" customWidth="1"/>
    <col min="6936" max="7168" width="9.140625" style="461"/>
    <col min="7169" max="7169" width="65.7109375" style="461" bestFit="1" customWidth="1"/>
    <col min="7170" max="7170" width="9.5703125" style="461" bestFit="1" customWidth="1"/>
    <col min="7171" max="7181" width="0" style="461" hidden="1" customWidth="1"/>
    <col min="7182" max="7182" width="14.7109375" style="461" bestFit="1" customWidth="1"/>
    <col min="7183" max="7187" width="0" style="461" hidden="1" customWidth="1"/>
    <col min="7188" max="7191" width="17.28515625" style="461" customWidth="1"/>
    <col min="7192" max="7424" width="9.140625" style="461"/>
    <col min="7425" max="7425" width="65.7109375" style="461" bestFit="1" customWidth="1"/>
    <col min="7426" max="7426" width="9.5703125" style="461" bestFit="1" customWidth="1"/>
    <col min="7427" max="7437" width="0" style="461" hidden="1" customWidth="1"/>
    <col min="7438" max="7438" width="14.7109375" style="461" bestFit="1" customWidth="1"/>
    <col min="7439" max="7443" width="0" style="461" hidden="1" customWidth="1"/>
    <col min="7444" max="7447" width="17.28515625" style="461" customWidth="1"/>
    <col min="7448" max="7680" width="9.140625" style="461"/>
    <col min="7681" max="7681" width="65.7109375" style="461" bestFit="1" customWidth="1"/>
    <col min="7682" max="7682" width="9.5703125" style="461" bestFit="1" customWidth="1"/>
    <col min="7683" max="7693" width="0" style="461" hidden="1" customWidth="1"/>
    <col min="7694" max="7694" width="14.7109375" style="461" bestFit="1" customWidth="1"/>
    <col min="7695" max="7699" width="0" style="461" hidden="1" customWidth="1"/>
    <col min="7700" max="7703" width="17.28515625" style="461" customWidth="1"/>
    <col min="7704" max="7936" width="9.140625" style="461"/>
    <col min="7937" max="7937" width="65.7109375" style="461" bestFit="1" customWidth="1"/>
    <col min="7938" max="7938" width="9.5703125" style="461" bestFit="1" customWidth="1"/>
    <col min="7939" max="7949" width="0" style="461" hidden="1" customWidth="1"/>
    <col min="7950" max="7950" width="14.7109375" style="461" bestFit="1" customWidth="1"/>
    <col min="7951" max="7955" width="0" style="461" hidden="1" customWidth="1"/>
    <col min="7956" max="7959" width="17.28515625" style="461" customWidth="1"/>
    <col min="7960" max="8192" width="9.140625" style="461"/>
    <col min="8193" max="8193" width="65.7109375" style="461" bestFit="1" customWidth="1"/>
    <col min="8194" max="8194" width="9.5703125" style="461" bestFit="1" customWidth="1"/>
    <col min="8195" max="8205" width="0" style="461" hidden="1" customWidth="1"/>
    <col min="8206" max="8206" width="14.7109375" style="461" bestFit="1" customWidth="1"/>
    <col min="8207" max="8211" width="0" style="461" hidden="1" customWidth="1"/>
    <col min="8212" max="8215" width="17.28515625" style="461" customWidth="1"/>
    <col min="8216" max="8448" width="9.140625" style="461"/>
    <col min="8449" max="8449" width="65.7109375" style="461" bestFit="1" customWidth="1"/>
    <col min="8450" max="8450" width="9.5703125" style="461" bestFit="1" customWidth="1"/>
    <col min="8451" max="8461" width="0" style="461" hidden="1" customWidth="1"/>
    <col min="8462" max="8462" width="14.7109375" style="461" bestFit="1" customWidth="1"/>
    <col min="8463" max="8467" width="0" style="461" hidden="1" customWidth="1"/>
    <col min="8468" max="8471" width="17.28515625" style="461" customWidth="1"/>
    <col min="8472" max="8704" width="9.140625" style="461"/>
    <col min="8705" max="8705" width="65.7109375" style="461" bestFit="1" customWidth="1"/>
    <col min="8706" max="8706" width="9.5703125" style="461" bestFit="1" customWidth="1"/>
    <col min="8707" max="8717" width="0" style="461" hidden="1" customWidth="1"/>
    <col min="8718" max="8718" width="14.7109375" style="461" bestFit="1" customWidth="1"/>
    <col min="8719" max="8723" width="0" style="461" hidden="1" customWidth="1"/>
    <col min="8724" max="8727" width="17.28515625" style="461" customWidth="1"/>
    <col min="8728" max="8960" width="9.140625" style="461"/>
    <col min="8961" max="8961" width="65.7109375" style="461" bestFit="1" customWidth="1"/>
    <col min="8962" max="8962" width="9.5703125" style="461" bestFit="1" customWidth="1"/>
    <col min="8963" max="8973" width="0" style="461" hidden="1" customWidth="1"/>
    <col min="8974" max="8974" width="14.7109375" style="461" bestFit="1" customWidth="1"/>
    <col min="8975" max="8979" width="0" style="461" hidden="1" customWidth="1"/>
    <col min="8980" max="8983" width="17.28515625" style="461" customWidth="1"/>
    <col min="8984" max="9216" width="9.140625" style="461"/>
    <col min="9217" max="9217" width="65.7109375" style="461" bestFit="1" customWidth="1"/>
    <col min="9218" max="9218" width="9.5703125" style="461" bestFit="1" customWidth="1"/>
    <col min="9219" max="9229" width="0" style="461" hidden="1" customWidth="1"/>
    <col min="9230" max="9230" width="14.7109375" style="461" bestFit="1" customWidth="1"/>
    <col min="9231" max="9235" width="0" style="461" hidden="1" customWidth="1"/>
    <col min="9236" max="9239" width="17.28515625" style="461" customWidth="1"/>
    <col min="9240" max="9472" width="9.140625" style="461"/>
    <col min="9473" max="9473" width="65.7109375" style="461" bestFit="1" customWidth="1"/>
    <col min="9474" max="9474" width="9.5703125" style="461" bestFit="1" customWidth="1"/>
    <col min="9475" max="9485" width="0" style="461" hidden="1" customWidth="1"/>
    <col min="9486" max="9486" width="14.7109375" style="461" bestFit="1" customWidth="1"/>
    <col min="9487" max="9491" width="0" style="461" hidden="1" customWidth="1"/>
    <col min="9492" max="9495" width="17.28515625" style="461" customWidth="1"/>
    <col min="9496" max="9728" width="9.140625" style="461"/>
    <col min="9729" max="9729" width="65.7109375" style="461" bestFit="1" customWidth="1"/>
    <col min="9730" max="9730" width="9.5703125" style="461" bestFit="1" customWidth="1"/>
    <col min="9731" max="9741" width="0" style="461" hidden="1" customWidth="1"/>
    <col min="9742" max="9742" width="14.7109375" style="461" bestFit="1" customWidth="1"/>
    <col min="9743" max="9747" width="0" style="461" hidden="1" customWidth="1"/>
    <col min="9748" max="9751" width="17.28515625" style="461" customWidth="1"/>
    <col min="9752" max="9984" width="9.140625" style="461"/>
    <col min="9985" max="9985" width="65.7109375" style="461" bestFit="1" customWidth="1"/>
    <col min="9986" max="9986" width="9.5703125" style="461" bestFit="1" customWidth="1"/>
    <col min="9987" max="9997" width="0" style="461" hidden="1" customWidth="1"/>
    <col min="9998" max="9998" width="14.7109375" style="461" bestFit="1" customWidth="1"/>
    <col min="9999" max="10003" width="0" style="461" hidden="1" customWidth="1"/>
    <col min="10004" max="10007" width="17.28515625" style="461" customWidth="1"/>
    <col min="10008" max="10240" width="9.140625" style="461"/>
    <col min="10241" max="10241" width="65.7109375" style="461" bestFit="1" customWidth="1"/>
    <col min="10242" max="10242" width="9.5703125" style="461" bestFit="1" customWidth="1"/>
    <col min="10243" max="10253" width="0" style="461" hidden="1" customWidth="1"/>
    <col min="10254" max="10254" width="14.7109375" style="461" bestFit="1" customWidth="1"/>
    <col min="10255" max="10259" width="0" style="461" hidden="1" customWidth="1"/>
    <col min="10260" max="10263" width="17.28515625" style="461" customWidth="1"/>
    <col min="10264" max="10496" width="9.140625" style="461"/>
    <col min="10497" max="10497" width="65.7109375" style="461" bestFit="1" customWidth="1"/>
    <col min="10498" max="10498" width="9.5703125" style="461" bestFit="1" customWidth="1"/>
    <col min="10499" max="10509" width="0" style="461" hidden="1" customWidth="1"/>
    <col min="10510" max="10510" width="14.7109375" style="461" bestFit="1" customWidth="1"/>
    <col min="10511" max="10515" width="0" style="461" hidden="1" customWidth="1"/>
    <col min="10516" max="10519" width="17.28515625" style="461" customWidth="1"/>
    <col min="10520" max="10752" width="9.140625" style="461"/>
    <col min="10753" max="10753" width="65.7109375" style="461" bestFit="1" customWidth="1"/>
    <col min="10754" max="10754" width="9.5703125" style="461" bestFit="1" customWidth="1"/>
    <col min="10755" max="10765" width="0" style="461" hidden="1" customWidth="1"/>
    <col min="10766" max="10766" width="14.7109375" style="461" bestFit="1" customWidth="1"/>
    <col min="10767" max="10771" width="0" style="461" hidden="1" customWidth="1"/>
    <col min="10772" max="10775" width="17.28515625" style="461" customWidth="1"/>
    <col min="10776" max="11008" width="9.140625" style="461"/>
    <col min="11009" max="11009" width="65.7109375" style="461" bestFit="1" customWidth="1"/>
    <col min="11010" max="11010" width="9.5703125" style="461" bestFit="1" customWidth="1"/>
    <col min="11011" max="11021" width="0" style="461" hidden="1" customWidth="1"/>
    <col min="11022" max="11022" width="14.7109375" style="461" bestFit="1" customWidth="1"/>
    <col min="11023" max="11027" width="0" style="461" hidden="1" customWidth="1"/>
    <col min="11028" max="11031" width="17.28515625" style="461" customWidth="1"/>
    <col min="11032" max="11264" width="9.140625" style="461"/>
    <col min="11265" max="11265" width="65.7109375" style="461" bestFit="1" customWidth="1"/>
    <col min="11266" max="11266" width="9.5703125" style="461" bestFit="1" customWidth="1"/>
    <col min="11267" max="11277" width="0" style="461" hidden="1" customWidth="1"/>
    <col min="11278" max="11278" width="14.7109375" style="461" bestFit="1" customWidth="1"/>
    <col min="11279" max="11283" width="0" style="461" hidden="1" customWidth="1"/>
    <col min="11284" max="11287" width="17.28515625" style="461" customWidth="1"/>
    <col min="11288" max="11520" width="9.140625" style="461"/>
    <col min="11521" max="11521" width="65.7109375" style="461" bestFit="1" customWidth="1"/>
    <col min="11522" max="11522" width="9.5703125" style="461" bestFit="1" customWidth="1"/>
    <col min="11523" max="11533" width="0" style="461" hidden="1" customWidth="1"/>
    <col min="11534" max="11534" width="14.7109375" style="461" bestFit="1" customWidth="1"/>
    <col min="11535" max="11539" width="0" style="461" hidden="1" customWidth="1"/>
    <col min="11540" max="11543" width="17.28515625" style="461" customWidth="1"/>
    <col min="11544" max="11776" width="9.140625" style="461"/>
    <col min="11777" max="11777" width="65.7109375" style="461" bestFit="1" customWidth="1"/>
    <col min="11778" max="11778" width="9.5703125" style="461" bestFit="1" customWidth="1"/>
    <col min="11779" max="11789" width="0" style="461" hidden="1" customWidth="1"/>
    <col min="11790" max="11790" width="14.7109375" style="461" bestFit="1" customWidth="1"/>
    <col min="11791" max="11795" width="0" style="461" hidden="1" customWidth="1"/>
    <col min="11796" max="11799" width="17.28515625" style="461" customWidth="1"/>
    <col min="11800" max="12032" width="9.140625" style="461"/>
    <col min="12033" max="12033" width="65.7109375" style="461" bestFit="1" customWidth="1"/>
    <col min="12034" max="12034" width="9.5703125" style="461" bestFit="1" customWidth="1"/>
    <col min="12035" max="12045" width="0" style="461" hidden="1" customWidth="1"/>
    <col min="12046" max="12046" width="14.7109375" style="461" bestFit="1" customWidth="1"/>
    <col min="12047" max="12051" width="0" style="461" hidden="1" customWidth="1"/>
    <col min="12052" max="12055" width="17.28515625" style="461" customWidth="1"/>
    <col min="12056" max="12288" width="9.140625" style="461"/>
    <col min="12289" max="12289" width="65.7109375" style="461" bestFit="1" customWidth="1"/>
    <col min="12290" max="12290" width="9.5703125" style="461" bestFit="1" customWidth="1"/>
    <col min="12291" max="12301" width="0" style="461" hidden="1" customWidth="1"/>
    <col min="12302" max="12302" width="14.7109375" style="461" bestFit="1" customWidth="1"/>
    <col min="12303" max="12307" width="0" style="461" hidden="1" customWidth="1"/>
    <col min="12308" max="12311" width="17.28515625" style="461" customWidth="1"/>
    <col min="12312" max="12544" width="9.140625" style="461"/>
    <col min="12545" max="12545" width="65.7109375" style="461" bestFit="1" customWidth="1"/>
    <col min="12546" max="12546" width="9.5703125" style="461" bestFit="1" customWidth="1"/>
    <col min="12547" max="12557" width="0" style="461" hidden="1" customWidth="1"/>
    <col min="12558" max="12558" width="14.7109375" style="461" bestFit="1" customWidth="1"/>
    <col min="12559" max="12563" width="0" style="461" hidden="1" customWidth="1"/>
    <col min="12564" max="12567" width="17.28515625" style="461" customWidth="1"/>
    <col min="12568" max="12800" width="9.140625" style="461"/>
    <col min="12801" max="12801" width="65.7109375" style="461" bestFit="1" customWidth="1"/>
    <col min="12802" max="12802" width="9.5703125" style="461" bestFit="1" customWidth="1"/>
    <col min="12803" max="12813" width="0" style="461" hidden="1" customWidth="1"/>
    <col min="12814" max="12814" width="14.7109375" style="461" bestFit="1" customWidth="1"/>
    <col min="12815" max="12819" width="0" style="461" hidden="1" customWidth="1"/>
    <col min="12820" max="12823" width="17.28515625" style="461" customWidth="1"/>
    <col min="12824" max="13056" width="9.140625" style="461"/>
    <col min="13057" max="13057" width="65.7109375" style="461" bestFit="1" customWidth="1"/>
    <col min="13058" max="13058" width="9.5703125" style="461" bestFit="1" customWidth="1"/>
    <col min="13059" max="13069" width="0" style="461" hidden="1" customWidth="1"/>
    <col min="13070" max="13070" width="14.7109375" style="461" bestFit="1" customWidth="1"/>
    <col min="13071" max="13075" width="0" style="461" hidden="1" customWidth="1"/>
    <col min="13076" max="13079" width="17.28515625" style="461" customWidth="1"/>
    <col min="13080" max="13312" width="9.140625" style="461"/>
    <col min="13313" max="13313" width="65.7109375" style="461" bestFit="1" customWidth="1"/>
    <col min="13314" max="13314" width="9.5703125" style="461" bestFit="1" customWidth="1"/>
    <col min="13315" max="13325" width="0" style="461" hidden="1" customWidth="1"/>
    <col min="13326" max="13326" width="14.7109375" style="461" bestFit="1" customWidth="1"/>
    <col min="13327" max="13331" width="0" style="461" hidden="1" customWidth="1"/>
    <col min="13332" max="13335" width="17.28515625" style="461" customWidth="1"/>
    <col min="13336" max="13568" width="9.140625" style="461"/>
    <col min="13569" max="13569" width="65.7109375" style="461" bestFit="1" customWidth="1"/>
    <col min="13570" max="13570" width="9.5703125" style="461" bestFit="1" customWidth="1"/>
    <col min="13571" max="13581" width="0" style="461" hidden="1" customWidth="1"/>
    <col min="13582" max="13582" width="14.7109375" style="461" bestFit="1" customWidth="1"/>
    <col min="13583" max="13587" width="0" style="461" hidden="1" customWidth="1"/>
    <col min="13588" max="13591" width="17.28515625" style="461" customWidth="1"/>
    <col min="13592" max="13824" width="9.140625" style="461"/>
    <col min="13825" max="13825" width="65.7109375" style="461" bestFit="1" customWidth="1"/>
    <col min="13826" max="13826" width="9.5703125" style="461" bestFit="1" customWidth="1"/>
    <col min="13827" max="13837" width="0" style="461" hidden="1" customWidth="1"/>
    <col min="13838" max="13838" width="14.7109375" style="461" bestFit="1" customWidth="1"/>
    <col min="13839" max="13843" width="0" style="461" hidden="1" customWidth="1"/>
    <col min="13844" max="13847" width="17.28515625" style="461" customWidth="1"/>
    <col min="13848" max="14080" width="9.140625" style="461"/>
    <col min="14081" max="14081" width="65.7109375" style="461" bestFit="1" customWidth="1"/>
    <col min="14082" max="14082" width="9.5703125" style="461" bestFit="1" customWidth="1"/>
    <col min="14083" max="14093" width="0" style="461" hidden="1" customWidth="1"/>
    <col min="14094" max="14094" width="14.7109375" style="461" bestFit="1" customWidth="1"/>
    <col min="14095" max="14099" width="0" style="461" hidden="1" customWidth="1"/>
    <col min="14100" max="14103" width="17.28515625" style="461" customWidth="1"/>
    <col min="14104" max="14336" width="9.140625" style="461"/>
    <col min="14337" max="14337" width="65.7109375" style="461" bestFit="1" customWidth="1"/>
    <col min="14338" max="14338" width="9.5703125" style="461" bestFit="1" customWidth="1"/>
    <col min="14339" max="14349" width="0" style="461" hidden="1" customWidth="1"/>
    <col min="14350" max="14350" width="14.7109375" style="461" bestFit="1" customWidth="1"/>
    <col min="14351" max="14355" width="0" style="461" hidden="1" customWidth="1"/>
    <col min="14356" max="14359" width="17.28515625" style="461" customWidth="1"/>
    <col min="14360" max="14592" width="9.140625" style="461"/>
    <col min="14593" max="14593" width="65.7109375" style="461" bestFit="1" customWidth="1"/>
    <col min="14594" max="14594" width="9.5703125" style="461" bestFit="1" customWidth="1"/>
    <col min="14595" max="14605" width="0" style="461" hidden="1" customWidth="1"/>
    <col min="14606" max="14606" width="14.7109375" style="461" bestFit="1" customWidth="1"/>
    <col min="14607" max="14611" width="0" style="461" hidden="1" customWidth="1"/>
    <col min="14612" max="14615" width="17.28515625" style="461" customWidth="1"/>
    <col min="14616" max="14848" width="9.140625" style="461"/>
    <col min="14849" max="14849" width="65.7109375" style="461" bestFit="1" customWidth="1"/>
    <col min="14850" max="14850" width="9.5703125" style="461" bestFit="1" customWidth="1"/>
    <col min="14851" max="14861" width="0" style="461" hidden="1" customWidth="1"/>
    <col min="14862" max="14862" width="14.7109375" style="461" bestFit="1" customWidth="1"/>
    <col min="14863" max="14867" width="0" style="461" hidden="1" customWidth="1"/>
    <col min="14868" max="14871" width="17.28515625" style="461" customWidth="1"/>
    <col min="14872" max="15104" width="9.140625" style="461"/>
    <col min="15105" max="15105" width="65.7109375" style="461" bestFit="1" customWidth="1"/>
    <col min="15106" max="15106" width="9.5703125" style="461" bestFit="1" customWidth="1"/>
    <col min="15107" max="15117" width="0" style="461" hidden="1" customWidth="1"/>
    <col min="15118" max="15118" width="14.7109375" style="461" bestFit="1" customWidth="1"/>
    <col min="15119" max="15123" width="0" style="461" hidden="1" customWidth="1"/>
    <col min="15124" max="15127" width="17.28515625" style="461" customWidth="1"/>
    <col min="15128" max="15360" width="9.140625" style="461"/>
    <col min="15361" max="15361" width="65.7109375" style="461" bestFit="1" customWidth="1"/>
    <col min="15362" max="15362" width="9.5703125" style="461" bestFit="1" customWidth="1"/>
    <col min="15363" max="15373" width="0" style="461" hidden="1" customWidth="1"/>
    <col min="15374" max="15374" width="14.7109375" style="461" bestFit="1" customWidth="1"/>
    <col min="15375" max="15379" width="0" style="461" hidden="1" customWidth="1"/>
    <col min="15380" max="15383" width="17.28515625" style="461" customWidth="1"/>
    <col min="15384" max="15616" width="9.140625" style="461"/>
    <col min="15617" max="15617" width="65.7109375" style="461" bestFit="1" customWidth="1"/>
    <col min="15618" max="15618" width="9.5703125" style="461" bestFit="1" customWidth="1"/>
    <col min="15619" max="15629" width="0" style="461" hidden="1" customWidth="1"/>
    <col min="15630" max="15630" width="14.7109375" style="461" bestFit="1" customWidth="1"/>
    <col min="15631" max="15635" width="0" style="461" hidden="1" customWidth="1"/>
    <col min="15636" max="15639" width="17.28515625" style="461" customWidth="1"/>
    <col min="15640" max="15872" width="9.140625" style="461"/>
    <col min="15873" max="15873" width="65.7109375" style="461" bestFit="1" customWidth="1"/>
    <col min="15874" max="15874" width="9.5703125" style="461" bestFit="1" customWidth="1"/>
    <col min="15875" max="15885" width="0" style="461" hidden="1" customWidth="1"/>
    <col min="15886" max="15886" width="14.7109375" style="461" bestFit="1" customWidth="1"/>
    <col min="15887" max="15891" width="0" style="461" hidden="1" customWidth="1"/>
    <col min="15892" max="15895" width="17.28515625" style="461" customWidth="1"/>
    <col min="15896" max="16128" width="9.140625" style="461"/>
    <col min="16129" max="16129" width="65.7109375" style="461" bestFit="1" customWidth="1"/>
    <col min="16130" max="16130" width="9.5703125" style="461" bestFit="1" customWidth="1"/>
    <col min="16131" max="16141" width="0" style="461" hidden="1" customWidth="1"/>
    <col min="16142" max="16142" width="14.7109375" style="461" bestFit="1" customWidth="1"/>
    <col min="16143" max="16147" width="0" style="461" hidden="1" customWidth="1"/>
    <col min="16148" max="16151" width="17.28515625" style="461" customWidth="1"/>
    <col min="16152" max="16384" width="9.140625" style="461"/>
  </cols>
  <sheetData>
    <row r="1" spans="1:19" s="453" customFormat="1" ht="15.75">
      <c r="A1" s="567" t="s">
        <v>304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461"/>
      <c r="Q1" s="454"/>
      <c r="R1" s="455"/>
      <c r="S1" s="456"/>
    </row>
    <row r="2" spans="1:19" s="453" customFormat="1" ht="15.75">
      <c r="A2" s="569" t="s">
        <v>312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461"/>
      <c r="Q2" s="457"/>
      <c r="R2" s="458"/>
      <c r="S2" s="456"/>
    </row>
    <row r="3" spans="1:19" s="453" customFormat="1" ht="15.75">
      <c r="A3" s="571" t="str">
        <f>R4</f>
        <v>March 2017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461"/>
      <c r="Q3" s="457"/>
      <c r="R3" s="458"/>
      <c r="S3" s="456"/>
    </row>
    <row r="4" spans="1:19" s="453" customFormat="1">
      <c r="A4" s="472"/>
      <c r="B4" s="472"/>
      <c r="C4" s="472"/>
      <c r="D4" s="472"/>
      <c r="E4" s="472"/>
      <c r="F4" s="472"/>
      <c r="G4" s="472"/>
      <c r="O4" s="461"/>
      <c r="Q4" s="457" t="s">
        <v>408</v>
      </c>
      <c r="R4" s="458" t="str">
        <f>TEXT(S4,"mmmm yyyy")</f>
        <v>March 2017</v>
      </c>
      <c r="S4" s="460">
        <v>42825</v>
      </c>
    </row>
    <row r="5" spans="1:19">
      <c r="A5" s="472"/>
      <c r="B5" s="472"/>
      <c r="C5" s="472"/>
      <c r="D5" s="472"/>
      <c r="E5" s="472"/>
      <c r="F5" s="472"/>
      <c r="G5" s="472"/>
      <c r="K5" s="472"/>
      <c r="L5" s="472"/>
      <c r="M5" s="472"/>
      <c r="N5" s="472"/>
      <c r="Q5" s="457" t="s">
        <v>415</v>
      </c>
      <c r="R5" s="458" t="str">
        <f>S5</f>
        <v>.</v>
      </c>
      <c r="S5" s="456" t="s">
        <v>410</v>
      </c>
    </row>
    <row r="6" spans="1:19" ht="15.75">
      <c r="A6" s="109"/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 t="str">
        <f>"FY "&amp;$R$6&amp;" YTD"</f>
        <v>FY 2017 YTD</v>
      </c>
      <c r="Q6" s="457" t="s">
        <v>411</v>
      </c>
      <c r="R6" s="458" t="str">
        <f>S6</f>
        <v>2017</v>
      </c>
      <c r="S6" s="456" t="s">
        <v>412</v>
      </c>
    </row>
    <row r="7" spans="1:19" ht="16.5" thickBot="1">
      <c r="A7" s="109"/>
      <c r="B7" s="463" t="str">
        <f>"9/1/2"&amp;$R$10</f>
        <v>9/1/2016</v>
      </c>
      <c r="C7" s="536" t="str">
        <f>"Oct 2"&amp;$R$10</f>
        <v>Oct 2016</v>
      </c>
      <c r="D7" s="536" t="str">
        <f>"Nov 2"&amp;$R$10</f>
        <v>Nov 2016</v>
      </c>
      <c r="E7" s="536" t="str">
        <f>"Dec 2"&amp;$R$10</f>
        <v>Dec 2016</v>
      </c>
      <c r="F7" s="536" t="str">
        <f>"Jan "&amp;$R$6</f>
        <v>Jan 2017</v>
      </c>
      <c r="G7" s="536" t="str">
        <f>"Feb "&amp;$R$6</f>
        <v>Feb 2017</v>
      </c>
      <c r="H7" s="536" t="str">
        <f>"Mar "&amp;$R$6</f>
        <v>Mar 2017</v>
      </c>
      <c r="I7" s="536" t="str">
        <f>"Apr "&amp;$R$6</f>
        <v>Apr 2017</v>
      </c>
      <c r="J7" s="536" t="str">
        <f>"May "&amp;$R$6</f>
        <v>May 2017</v>
      </c>
      <c r="K7" s="536" t="str">
        <f>"Jun "&amp;$R$6</f>
        <v>Jun 2017</v>
      </c>
      <c r="L7" s="536" t="str">
        <f>"Jul "&amp;$R$6</f>
        <v>Jul 2017</v>
      </c>
      <c r="M7" s="536" t="str">
        <f>"Aug "&amp;$R$6</f>
        <v>Aug 2017</v>
      </c>
      <c r="N7" s="536" t="str">
        <f>"as of "&amp;R8</f>
        <v>as of 03/31/17</v>
      </c>
      <c r="Q7" s="457" t="s">
        <v>413</v>
      </c>
      <c r="R7" s="458" t="str">
        <f>TEXT(S7,"mmmm-dd-yyyy")</f>
        <v>March-31-2017</v>
      </c>
      <c r="S7" s="460">
        <f>S4</f>
        <v>42825</v>
      </c>
    </row>
    <row r="8" spans="1:19" ht="16.5" thickTop="1">
      <c r="A8" s="109"/>
      <c r="B8" s="109"/>
      <c r="C8" s="109"/>
      <c r="D8" s="109"/>
      <c r="E8" s="109"/>
      <c r="F8" s="109"/>
      <c r="G8" s="109"/>
      <c r="H8" s="102"/>
      <c r="I8" s="122"/>
      <c r="J8" s="122"/>
      <c r="K8" s="109"/>
      <c r="L8" s="109"/>
      <c r="M8" s="109"/>
      <c r="N8" s="109"/>
      <c r="Q8" s="457" t="s">
        <v>413</v>
      </c>
      <c r="R8" s="458" t="str">
        <f>TEXT(S8,"mm/dd/yy")</f>
        <v>03/31/17</v>
      </c>
      <c r="S8" s="460">
        <f>S4</f>
        <v>42825</v>
      </c>
    </row>
    <row r="9" spans="1:19" ht="16.5" thickBot="1">
      <c r="A9" s="542" t="s">
        <v>302</v>
      </c>
      <c r="B9" s="115">
        <v>0</v>
      </c>
      <c r="C9" s="115">
        <f>B9</f>
        <v>0</v>
      </c>
      <c r="D9" s="115">
        <f t="shared" ref="D9:M9" si="0">C9</f>
        <v>0</v>
      </c>
      <c r="E9" s="115">
        <f t="shared" si="0"/>
        <v>0</v>
      </c>
      <c r="F9" s="115">
        <f t="shared" si="0"/>
        <v>0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15">
        <f t="shared" si="0"/>
        <v>0</v>
      </c>
      <c r="K9" s="115">
        <f t="shared" si="0"/>
        <v>0</v>
      </c>
      <c r="L9" s="115">
        <f t="shared" si="0"/>
        <v>0</v>
      </c>
      <c r="M9" s="115">
        <f t="shared" si="0"/>
        <v>0</v>
      </c>
      <c r="N9" s="115">
        <f>B9</f>
        <v>0</v>
      </c>
      <c r="Q9" s="457" t="s">
        <v>411</v>
      </c>
      <c r="R9" s="458">
        <f>S9</f>
        <v>17</v>
      </c>
      <c r="S9" s="456">
        <v>17</v>
      </c>
    </row>
    <row r="10" spans="1:19" ht="15.75">
      <c r="A10" s="109"/>
      <c r="B10" s="109"/>
      <c r="C10" s="109"/>
      <c r="D10" s="109"/>
      <c r="E10" s="109"/>
      <c r="F10" s="109"/>
      <c r="G10" s="109"/>
      <c r="H10" s="102"/>
      <c r="I10" s="102"/>
      <c r="J10" s="102"/>
      <c r="K10" s="109"/>
      <c r="L10" s="109"/>
      <c r="M10" s="109"/>
      <c r="N10" s="109"/>
      <c r="Q10" s="527" t="s">
        <v>414</v>
      </c>
      <c r="R10" s="528" t="str">
        <f>"0"&amp;S10</f>
        <v>016</v>
      </c>
      <c r="S10" s="456">
        <v>16</v>
      </c>
    </row>
    <row r="11" spans="1:19" ht="15.75">
      <c r="A11" s="108" t="s">
        <v>301</v>
      </c>
      <c r="B11" s="109"/>
      <c r="C11" s="109"/>
      <c r="D11" s="109"/>
      <c r="E11" s="109"/>
      <c r="F11" s="109"/>
      <c r="G11" s="109"/>
      <c r="H11" s="102"/>
      <c r="I11" s="102"/>
      <c r="J11" s="102"/>
      <c r="K11" s="109"/>
      <c r="L11" s="109"/>
      <c r="M11" s="109"/>
      <c r="N11" s="109"/>
    </row>
    <row r="12" spans="1:19" ht="15.75">
      <c r="A12" s="109"/>
      <c r="B12" s="109"/>
      <c r="C12" s="109"/>
      <c r="D12" s="109"/>
      <c r="E12" s="109"/>
      <c r="F12" s="109"/>
      <c r="G12" s="109"/>
      <c r="H12" s="102"/>
      <c r="I12" s="102"/>
      <c r="J12" s="102"/>
      <c r="K12" s="109"/>
      <c r="L12" s="109"/>
      <c r="M12" s="109"/>
      <c r="N12" s="109"/>
    </row>
    <row r="13" spans="1:19" ht="15.75">
      <c r="A13" s="109" t="s">
        <v>313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>
        <f>SUM(B13:M13)</f>
        <v>0</v>
      </c>
    </row>
    <row r="14" spans="1:19" ht="15.75">
      <c r="A14" s="112" t="s">
        <v>314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>
        <f>SUM(B14:M14)</f>
        <v>0</v>
      </c>
    </row>
    <row r="15" spans="1:19" ht="15.75">
      <c r="A15" s="109" t="s">
        <v>315</v>
      </c>
      <c r="B15" s="109">
        <v>0</v>
      </c>
      <c r="C15" s="102">
        <v>21527</v>
      </c>
      <c r="D15" s="109">
        <v>995026</v>
      </c>
      <c r="E15" s="109">
        <v>0</v>
      </c>
      <c r="F15" s="109">
        <v>0</v>
      </c>
      <c r="G15" s="109">
        <v>4669148</v>
      </c>
      <c r="H15" s="109"/>
      <c r="I15" s="109"/>
      <c r="J15" s="109"/>
      <c r="K15" s="109"/>
      <c r="L15" s="109"/>
      <c r="M15" s="109"/>
      <c r="N15" s="109">
        <f>SUM(B15:M15)</f>
        <v>5685701</v>
      </c>
    </row>
    <row r="16" spans="1:19" ht="15.75">
      <c r="A16" s="109"/>
      <c r="B16" s="109"/>
      <c r="C16" s="109"/>
      <c r="D16" s="109"/>
      <c r="E16" s="109"/>
      <c r="F16" s="109"/>
      <c r="G16" s="109"/>
      <c r="H16" s="102"/>
      <c r="I16" s="102"/>
      <c r="J16" s="102"/>
      <c r="K16" s="109"/>
      <c r="L16" s="109"/>
      <c r="M16" s="109"/>
      <c r="N16" s="109"/>
    </row>
    <row r="17" spans="1:14" ht="15.75">
      <c r="A17" s="109"/>
      <c r="B17" s="109"/>
      <c r="C17" s="109"/>
      <c r="D17" s="109"/>
      <c r="E17" s="109"/>
      <c r="F17" s="109"/>
      <c r="G17" s="109"/>
      <c r="H17" s="102"/>
      <c r="I17" s="102"/>
      <c r="J17" s="102"/>
      <c r="K17" s="109"/>
      <c r="L17" s="109"/>
      <c r="M17" s="109"/>
      <c r="N17" s="109"/>
    </row>
    <row r="18" spans="1:14" ht="15.75">
      <c r="A18" s="117" t="s">
        <v>309</v>
      </c>
      <c r="B18" s="109"/>
      <c r="C18" s="109"/>
      <c r="D18" s="109"/>
      <c r="E18" s="109"/>
      <c r="F18" s="109"/>
      <c r="G18" s="109"/>
      <c r="H18" s="102"/>
      <c r="I18" s="102"/>
      <c r="J18" s="102"/>
      <c r="K18" s="109"/>
      <c r="L18" s="109"/>
      <c r="M18" s="109"/>
      <c r="N18" s="109">
        <f>ROUND(SUM(B18:M18),0)</f>
        <v>0</v>
      </c>
    </row>
    <row r="19" spans="1:14" ht="15.75">
      <c r="A19" s="109"/>
      <c r="B19" s="109"/>
      <c r="C19" s="109"/>
      <c r="D19" s="109"/>
      <c r="E19" s="109"/>
      <c r="F19" s="109"/>
      <c r="G19" s="109"/>
      <c r="H19" s="102"/>
      <c r="I19" s="102"/>
      <c r="J19" s="102"/>
      <c r="K19" s="109"/>
      <c r="L19" s="109"/>
      <c r="M19" s="109"/>
      <c r="N19" s="109">
        <f>ROUND(SUM(B19:M19),0)</f>
        <v>0</v>
      </c>
    </row>
    <row r="20" spans="1:14" ht="15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>
        <f>ROUND(SUM(B20:M20),0)</f>
        <v>0</v>
      </c>
    </row>
    <row r="21" spans="1:14" ht="15.75">
      <c r="A21" s="109"/>
      <c r="B21" s="109"/>
      <c r="C21" s="109"/>
      <c r="D21" s="109"/>
      <c r="E21" s="109"/>
      <c r="F21" s="109"/>
      <c r="G21" s="109"/>
      <c r="H21" s="102"/>
      <c r="I21" s="102"/>
      <c r="J21" s="102"/>
      <c r="K21" s="109"/>
      <c r="L21" s="109"/>
      <c r="M21" s="109"/>
      <c r="N21" s="109"/>
    </row>
    <row r="22" spans="1:14" ht="15.75">
      <c r="A22" s="109"/>
      <c r="B22" s="109"/>
      <c r="C22" s="109"/>
      <c r="D22" s="109"/>
      <c r="E22" s="109"/>
      <c r="F22" s="109"/>
      <c r="G22" s="109"/>
      <c r="H22" s="102"/>
      <c r="I22" s="102"/>
      <c r="J22" s="102"/>
      <c r="K22" s="109"/>
      <c r="L22" s="109"/>
      <c r="M22" s="109"/>
      <c r="N22" s="109"/>
    </row>
    <row r="23" spans="1:14" ht="15.75">
      <c r="A23" s="110" t="s">
        <v>296</v>
      </c>
      <c r="B23" s="118">
        <f>ROUND((SUM(B11:B15)),0)</f>
        <v>0</v>
      </c>
      <c r="C23" s="118">
        <f t="shared" ref="C23:M23" si="1">ROUND((SUM(C11:C15)),0)</f>
        <v>21527</v>
      </c>
      <c r="D23" s="118">
        <f t="shared" si="1"/>
        <v>995026</v>
      </c>
      <c r="E23" s="118">
        <f t="shared" si="1"/>
        <v>0</v>
      </c>
      <c r="F23" s="118">
        <f t="shared" si="1"/>
        <v>0</v>
      </c>
      <c r="G23" s="118">
        <f t="shared" si="1"/>
        <v>4669148</v>
      </c>
      <c r="H23" s="118">
        <f t="shared" si="1"/>
        <v>0</v>
      </c>
      <c r="I23" s="118">
        <f t="shared" si="1"/>
        <v>0</v>
      </c>
      <c r="J23" s="118">
        <f t="shared" si="1"/>
        <v>0</v>
      </c>
      <c r="K23" s="118">
        <f t="shared" si="1"/>
        <v>0</v>
      </c>
      <c r="L23" s="118">
        <f t="shared" si="1"/>
        <v>0</v>
      </c>
      <c r="M23" s="118">
        <f t="shared" si="1"/>
        <v>0</v>
      </c>
      <c r="N23" s="118">
        <f>ROUND((SUM(N11:N15)),0)</f>
        <v>5685701</v>
      </c>
    </row>
    <row r="24" spans="1:14" ht="15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14" ht="15.75">
      <c r="A25" s="108" t="s">
        <v>295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14" ht="15.75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4" ht="15.75">
      <c r="A27" s="123" t="s">
        <v>316</v>
      </c>
      <c r="B27" s="116">
        <v>0</v>
      </c>
      <c r="C27" s="109">
        <v>-21527</v>
      </c>
      <c r="D27" s="109">
        <v>-995026</v>
      </c>
      <c r="E27" s="109">
        <v>0</v>
      </c>
      <c r="F27" s="109">
        <v>0</v>
      </c>
      <c r="G27" s="109">
        <v>-4669148</v>
      </c>
      <c r="H27" s="109"/>
      <c r="I27" s="109"/>
      <c r="J27" s="109"/>
      <c r="K27" s="109"/>
      <c r="L27" s="109"/>
      <c r="M27" s="109"/>
      <c r="N27" s="109">
        <f t="shared" ref="N27:N32" si="2">ROUND(SUM(B27:M27),0)</f>
        <v>-5685701</v>
      </c>
    </row>
    <row r="28" spans="1:14" ht="15.75">
      <c r="A28" s="119" t="s">
        <v>317</v>
      </c>
      <c r="B28" s="109"/>
      <c r="C28" s="109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09">
        <f t="shared" si="2"/>
        <v>0</v>
      </c>
    </row>
    <row r="29" spans="1:14" ht="15.75">
      <c r="A29" s="109" t="s">
        <v>318</v>
      </c>
      <c r="B29" s="109"/>
      <c r="C29" s="109"/>
      <c r="D29" s="109"/>
      <c r="E29" s="111"/>
      <c r="F29" s="109"/>
      <c r="G29" s="109"/>
      <c r="H29" s="109"/>
      <c r="I29" s="109"/>
      <c r="J29" s="109"/>
      <c r="K29" s="109"/>
      <c r="L29" s="109"/>
      <c r="M29" s="109"/>
      <c r="N29" s="109">
        <f t="shared" si="2"/>
        <v>0</v>
      </c>
    </row>
    <row r="30" spans="1:14" ht="15.75">
      <c r="A30" s="125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>
        <f t="shared" si="2"/>
        <v>0</v>
      </c>
    </row>
    <row r="31" spans="1:14" ht="15.75">
      <c r="A31" s="117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>
        <f t="shared" si="2"/>
        <v>0</v>
      </c>
    </row>
    <row r="32" spans="1:14" ht="15.75">
      <c r="A32" s="117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>
        <f t="shared" si="2"/>
        <v>0</v>
      </c>
    </row>
    <row r="33" spans="1:14" ht="15.75">
      <c r="A33" s="117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1:14" ht="15.75">
      <c r="A34" s="117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14" ht="15.75">
      <c r="A35" s="108" t="s">
        <v>293</v>
      </c>
      <c r="B35" s="118">
        <f>ROUND(SUM(B27:B32),0)</f>
        <v>0</v>
      </c>
      <c r="C35" s="118">
        <f t="shared" ref="C35:N35" si="3">ROUND(SUM(C27:C32),0)</f>
        <v>-21527</v>
      </c>
      <c r="D35" s="118">
        <f t="shared" si="3"/>
        <v>-995026</v>
      </c>
      <c r="E35" s="118">
        <f t="shared" si="3"/>
        <v>0</v>
      </c>
      <c r="F35" s="118">
        <f t="shared" si="3"/>
        <v>0</v>
      </c>
      <c r="G35" s="118">
        <f t="shared" si="3"/>
        <v>-4669148</v>
      </c>
      <c r="H35" s="118">
        <f t="shared" si="3"/>
        <v>0</v>
      </c>
      <c r="I35" s="118">
        <f t="shared" si="3"/>
        <v>0</v>
      </c>
      <c r="J35" s="118">
        <f t="shared" si="3"/>
        <v>0</v>
      </c>
      <c r="K35" s="118">
        <f t="shared" si="3"/>
        <v>0</v>
      </c>
      <c r="L35" s="118">
        <f t="shared" si="3"/>
        <v>0</v>
      </c>
      <c r="M35" s="118">
        <f t="shared" si="3"/>
        <v>0</v>
      </c>
      <c r="N35" s="118">
        <f t="shared" si="3"/>
        <v>-5685701</v>
      </c>
    </row>
    <row r="36" spans="1:14" ht="15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  <row r="37" spans="1:14" ht="16.5" thickBot="1">
      <c r="A37" s="544" t="s">
        <v>292</v>
      </c>
      <c r="B37" s="121">
        <f t="shared" ref="B37:M37" si="4">+B9+B23+B35</f>
        <v>0</v>
      </c>
      <c r="C37" s="121">
        <f t="shared" si="4"/>
        <v>0</v>
      </c>
      <c r="D37" s="121">
        <f t="shared" si="4"/>
        <v>0</v>
      </c>
      <c r="E37" s="121">
        <f t="shared" si="4"/>
        <v>0</v>
      </c>
      <c r="F37" s="121">
        <f t="shared" si="4"/>
        <v>0</v>
      </c>
      <c r="G37" s="121">
        <f t="shared" si="4"/>
        <v>0</v>
      </c>
      <c r="H37" s="121">
        <f t="shared" si="4"/>
        <v>0</v>
      </c>
      <c r="I37" s="121">
        <f t="shared" si="4"/>
        <v>0</v>
      </c>
      <c r="J37" s="121">
        <f t="shared" si="4"/>
        <v>0</v>
      </c>
      <c r="K37" s="121">
        <f t="shared" si="4"/>
        <v>0</v>
      </c>
      <c r="L37" s="121">
        <f t="shared" si="4"/>
        <v>0</v>
      </c>
      <c r="M37" s="121">
        <f t="shared" si="4"/>
        <v>0</v>
      </c>
      <c r="N37" s="121">
        <f>N9+N23+N35</f>
        <v>0</v>
      </c>
    </row>
    <row r="38" spans="1:14" ht="16.5" thickTop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.7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15.7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5.75">
      <c r="A41" s="102" t="s">
        <v>319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14" ht="15.75">
      <c r="A42" s="102" t="s">
        <v>320</v>
      </c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22</vt:i4>
      </vt:variant>
    </vt:vector>
  </HeadingPairs>
  <TitlesOfParts>
    <vt:vector size="38" baseType="lpstr">
      <vt:lpstr>Schedule 1</vt:lpstr>
      <vt:lpstr>Schedule 1 Supplemental</vt:lpstr>
      <vt:lpstr>Schedule 2</vt:lpstr>
      <vt:lpstr>Schedule 3</vt:lpstr>
      <vt:lpstr>Schedule 4</vt:lpstr>
      <vt:lpstr>Schedule 5</vt:lpstr>
      <vt:lpstr>Fund 0888</vt:lpstr>
      <vt:lpstr>Fund 5085</vt:lpstr>
      <vt:lpstr>Fund 5084</vt:lpstr>
      <vt:lpstr>Fund 0666</vt:lpstr>
      <vt:lpstr>Fund 8093</vt:lpstr>
      <vt:lpstr>Fund 0802</vt:lpstr>
      <vt:lpstr>Fund 0001</vt:lpstr>
      <vt:lpstr>Schedule 7</vt:lpstr>
      <vt:lpstr>Footnotes to Schedule 7</vt:lpstr>
      <vt:lpstr>Schedule 8</vt:lpstr>
      <vt:lpstr>Data</vt:lpstr>
      <vt:lpstr>'Footnotes to Schedule 7'!Print_Area</vt:lpstr>
      <vt:lpstr>'Fund 0001'!Print_Area</vt:lpstr>
      <vt:lpstr>'Fund 0666'!Print_Area</vt:lpstr>
      <vt:lpstr>'Fund 0802'!Print_Area</vt:lpstr>
      <vt:lpstr>'Fund 0888'!Print_Area</vt:lpstr>
      <vt:lpstr>'Fund 5084'!Print_Area</vt:lpstr>
      <vt:lpstr>'Fund 5085'!Print_Area</vt:lpstr>
      <vt:lpstr>'Fund 8093'!Print_Area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7'!Print_Area</vt:lpstr>
      <vt:lpstr>'Schedule 8'!Print_Area</vt:lpstr>
      <vt:lpstr>'Schedule 1'!Print_Titles</vt:lpstr>
      <vt:lpstr>'Schedule 1 Supplemental'!Print_Titles</vt:lpstr>
      <vt:lpstr>'Schedule 2'!Print_Titles</vt:lpstr>
      <vt:lpstr>'Schedule 3'!Print_Titles</vt:lpstr>
      <vt:lpstr>'Schedule 4'!Print_Titles</vt:lpstr>
      <vt:lpstr>'Schedule 5'!Print_Titles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Fletcher,Dina (DFPS)</cp:lastModifiedBy>
  <cp:lastPrinted>2017-04-27T22:44:30Z</cp:lastPrinted>
  <dcterms:created xsi:type="dcterms:W3CDTF">2007-10-30T15:19:17Z</dcterms:created>
  <dcterms:modified xsi:type="dcterms:W3CDTF">2017-04-28T17:52:57Z</dcterms:modified>
</cp:coreProperties>
</file>