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9\2019_12_Aug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58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57" r:id="rId14"/>
    <sheet name="Schedule 10" sheetId="118" r:id="rId15"/>
    <sheet name="Schedule 11" sheetId="159" r:id="rId16"/>
  </sheets>
  <externalReferences>
    <externalReference r:id="rId17"/>
  </externalReference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3">#REF!</definedName>
    <definedName name="_3REPORT_1">#REF!</definedName>
    <definedName name="_xlnm._FilterDatabase" localSheetId="3" hidden="1">'Schedule 2'!$A$5:$N$40</definedName>
    <definedName name="_xlnm._FilterDatabase" localSheetId="5" hidden="1">'Schedule 4'!$A$6:$J$70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3">#REF!</definedName>
    <definedName name="Capital" localSheetId="11">#REF!</definedName>
    <definedName name="Capital">#REF!</definedName>
    <definedName name="Data" localSheetId="3">'[1]Schedule 4'!#REF!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3">#REF!</definedName>
    <definedName name="MOF_Link" localSheetId="11">#REF!</definedName>
    <definedName name="MOF_Link">#REF!</definedName>
    <definedName name="MOF_Link_Bud" localSheetId="3">#REF!</definedName>
    <definedName name="MOF_Link_Bud" localSheetId="11">#REF!</definedName>
    <definedName name="MOF_Link_Bud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October">#REF!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1'!$A$1:$L$69</definedName>
    <definedName name="_xlnm.Print_Area" localSheetId="2">'Schedule 1b'!$A$1:$L$72</definedName>
    <definedName name="_xlnm.Print_Area" localSheetId="3">'Schedule 2'!$A$1:$I$52</definedName>
    <definedName name="_xlnm.Print_Area" localSheetId="5">'Schedule 4'!$A$1:$I$60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8'!$A$1:$M$33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N53" i="159" l="1"/>
  <c r="BM53" i="159"/>
  <c r="AV53" i="159"/>
  <c r="BR52" i="159"/>
  <c r="BP52" i="159"/>
  <c r="BO52" i="159"/>
  <c r="BN52" i="159"/>
  <c r="BM52" i="159"/>
  <c r="BJ52" i="159"/>
  <c r="BH52" i="159"/>
  <c r="BE52" i="159"/>
  <c r="BD52" i="159"/>
  <c r="BC52" i="159"/>
  <c r="BB52" i="159"/>
  <c r="BA52" i="159"/>
  <c r="AZ52" i="159"/>
  <c r="AY52" i="159"/>
  <c r="AX52" i="159"/>
  <c r="AW52" i="159"/>
  <c r="AV52" i="159"/>
  <c r="AU52" i="159"/>
  <c r="AT52" i="159"/>
  <c r="BU52" i="159"/>
  <c r="BS52" i="159"/>
  <c r="BQ52" i="159"/>
  <c r="BL53" i="159"/>
  <c r="BK53" i="159"/>
  <c r="BJ53" i="159"/>
  <c r="BI53" i="159"/>
  <c r="BH53" i="159"/>
  <c r="BG50" i="159"/>
  <c r="BG52" i="159" s="1"/>
  <c r="AS50" i="159"/>
  <c r="BC48" i="159"/>
  <c r="BT47" i="159"/>
  <c r="BS47" i="159"/>
  <c r="BR47" i="159"/>
  <c r="BQ47" i="159"/>
  <c r="BP47" i="159"/>
  <c r="BO47" i="159"/>
  <c r="BN47" i="159"/>
  <c r="BM47" i="159"/>
  <c r="BL47" i="159"/>
  <c r="BK47" i="159"/>
  <c r="BJ47" i="159"/>
  <c r="BA47" i="159"/>
  <c r="BA48" i="159" s="1"/>
  <c r="AZ47" i="159"/>
  <c r="AZ48" i="159" s="1"/>
  <c r="AY47" i="159"/>
  <c r="AY48" i="159" s="1"/>
  <c r="AX47" i="159"/>
  <c r="AX48" i="159" s="1"/>
  <c r="AW47" i="159"/>
  <c r="AW48" i="159" s="1"/>
  <c r="AU47" i="159"/>
  <c r="AU48" i="159" s="1"/>
  <c r="AT47" i="159"/>
  <c r="AT48" i="159" s="1"/>
  <c r="BT46" i="159"/>
  <c r="BF46" i="159"/>
  <c r="AS46" i="159"/>
  <c r="BT45" i="159"/>
  <c r="BI47" i="159"/>
  <c r="BI48" i="159" s="1"/>
  <c r="BG47" i="159"/>
  <c r="BF45" i="159"/>
  <c r="BF47" i="159" s="1"/>
  <c r="AS45" i="159"/>
  <c r="AS47" i="159" s="1"/>
  <c r="BI44" i="159"/>
  <c r="BH44" i="159"/>
  <c r="BH48" i="159" s="1"/>
  <c r="BE44" i="159"/>
  <c r="BE48" i="159" s="1"/>
  <c r="BD44" i="159"/>
  <c r="BD48" i="159" s="1"/>
  <c r="BA44" i="159"/>
  <c r="AZ44" i="159"/>
  <c r="AY44" i="159"/>
  <c r="AX44" i="159"/>
  <c r="AU44" i="159"/>
  <c r="AT44" i="159"/>
  <c r="AQ44" i="159"/>
  <c r="AP44" i="159"/>
  <c r="AO44" i="159"/>
  <c r="AN44" i="159"/>
  <c r="AM44" i="159"/>
  <c r="AL44" i="159"/>
  <c r="AK44" i="159"/>
  <c r="AJ44" i="159"/>
  <c r="AI44" i="159"/>
  <c r="AH44" i="159"/>
  <c r="AG44" i="159"/>
  <c r="AF44" i="159"/>
  <c r="BT43" i="159"/>
  <c r="BF43" i="159"/>
  <c r="AS43" i="159"/>
  <c r="BF42" i="159"/>
  <c r="AS42" i="159"/>
  <c r="BT41" i="159"/>
  <c r="BF41" i="159"/>
  <c r="AS41" i="159"/>
  <c r="BT40" i="159"/>
  <c r="BF40" i="159"/>
  <c r="AS40" i="159"/>
  <c r="BT39" i="159"/>
  <c r="BF39" i="159"/>
  <c r="AS39" i="159"/>
  <c r="BJ38" i="159"/>
  <c r="BK38" i="159" s="1"/>
  <c r="BF38" i="159"/>
  <c r="AS38" i="159"/>
  <c r="BT37" i="159"/>
  <c r="BF37" i="159"/>
  <c r="AS37" i="159"/>
  <c r="BT36" i="159"/>
  <c r="BF36" i="159"/>
  <c r="AS36" i="159"/>
  <c r="BT35" i="159"/>
  <c r="BF35" i="159"/>
  <c r="AS35" i="159"/>
  <c r="BT34" i="159"/>
  <c r="BF34" i="159"/>
  <c r="AS34" i="159"/>
  <c r="BT33" i="159"/>
  <c r="BF33" i="159"/>
  <c r="AS33" i="159"/>
  <c r="BT32" i="159"/>
  <c r="BT31" i="159"/>
  <c r="BF31" i="159"/>
  <c r="AS31" i="159"/>
  <c r="BT30" i="159"/>
  <c r="BF30" i="159"/>
  <c r="AS30" i="159"/>
  <c r="BU44" i="159"/>
  <c r="BG44" i="159"/>
  <c r="BF29" i="159"/>
  <c r="AS29" i="159"/>
  <c r="BS28" i="159"/>
  <c r="BR28" i="159"/>
  <c r="BQ28" i="159"/>
  <c r="BP28" i="159"/>
  <c r="BO28" i="159"/>
  <c r="BN28" i="159"/>
  <c r="BM28" i="159"/>
  <c r="BL28" i="159"/>
  <c r="BK28" i="159"/>
  <c r="BJ28" i="159"/>
  <c r="BI28" i="159"/>
  <c r="BH28" i="159"/>
  <c r="BE28" i="159"/>
  <c r="BD28" i="159"/>
  <c r="BA28" i="159"/>
  <c r="AZ28" i="159"/>
  <c r="AY28" i="159"/>
  <c r="AX28" i="159"/>
  <c r="AU28" i="159"/>
  <c r="AT28" i="159"/>
  <c r="AQ28" i="159"/>
  <c r="AP28" i="159"/>
  <c r="AO28" i="159"/>
  <c r="AN28" i="159"/>
  <c r="AM28" i="159"/>
  <c r="AL28" i="159"/>
  <c r="AK28" i="159"/>
  <c r="AJ28" i="159"/>
  <c r="AI28" i="159"/>
  <c r="AH28" i="159"/>
  <c r="AG28" i="159"/>
  <c r="AF28" i="159"/>
  <c r="BT27" i="159"/>
  <c r="BF27" i="159"/>
  <c r="AS27" i="159"/>
  <c r="BU28" i="159"/>
  <c r="BT26" i="159"/>
  <c r="BG28" i="159"/>
  <c r="BF26" i="159"/>
  <c r="AS26" i="159"/>
  <c r="AR28" i="159"/>
  <c r="BS21" i="159"/>
  <c r="BS53" i="159" s="1"/>
  <c r="BR21" i="159"/>
  <c r="BR53" i="159" s="1"/>
  <c r="BG21" i="159"/>
  <c r="BG53" i="159" s="1"/>
  <c r="BC21" i="159"/>
  <c r="BC53" i="159" s="1"/>
  <c r="AZ21" i="159"/>
  <c r="AZ53" i="159" s="1"/>
  <c r="AY21" i="159"/>
  <c r="AY53" i="159" s="1"/>
  <c r="AW21" i="159"/>
  <c r="AW53" i="159" s="1"/>
  <c r="AV21" i="159"/>
  <c r="AU21" i="159"/>
  <c r="AU53" i="159" s="1"/>
  <c r="AT21" i="159"/>
  <c r="AT53" i="159" s="1"/>
  <c r="AN21" i="159"/>
  <c r="AL21" i="159"/>
  <c r="AK21" i="159"/>
  <c r="AF21" i="159"/>
  <c r="BT20" i="159"/>
  <c r="BF20" i="159"/>
  <c r="AS20" i="159"/>
  <c r="BT19" i="159"/>
  <c r="BF19" i="159"/>
  <c r="AS19" i="159"/>
  <c r="BT18" i="159"/>
  <c r="BE18" i="159"/>
  <c r="BD18" i="159"/>
  <c r="BC18" i="159"/>
  <c r="BB18" i="159"/>
  <c r="BB53" i="159" s="1"/>
  <c r="BA18" i="159"/>
  <c r="AX18" i="159"/>
  <c r="BF18" i="159" s="1"/>
  <c r="AS18" i="159"/>
  <c r="BS17" i="159"/>
  <c r="BR17" i="159"/>
  <c r="BQ17" i="159"/>
  <c r="BQ21" i="159" s="1"/>
  <c r="BQ53" i="159" s="1"/>
  <c r="BP17" i="159"/>
  <c r="BP21" i="159" s="1"/>
  <c r="BP53" i="159" s="1"/>
  <c r="BO17" i="159"/>
  <c r="BO21" i="159" s="1"/>
  <c r="BO53" i="159" s="1"/>
  <c r="BF17" i="159"/>
  <c r="AS17" i="159"/>
  <c r="BT16" i="159"/>
  <c r="BF16" i="159"/>
  <c r="AS16" i="159"/>
  <c r="BT15" i="159"/>
  <c r="BF15" i="159"/>
  <c r="AS15" i="159"/>
  <c r="BT14" i="159"/>
  <c r="BF14" i="159"/>
  <c r="AS14" i="159"/>
  <c r="BT13" i="159"/>
  <c r="BF13" i="159"/>
  <c r="AS13" i="159"/>
  <c r="BT12" i="159"/>
  <c r="BF12" i="159"/>
  <c r="AS12" i="159"/>
  <c r="BT11" i="159"/>
  <c r="BF11" i="159"/>
  <c r="AS11" i="159"/>
  <c r="BT10" i="159"/>
  <c r="BE10" i="159"/>
  <c r="BE21" i="159" s="1"/>
  <c r="BE53" i="159" s="1"/>
  <c r="BD10" i="159"/>
  <c r="BD21" i="159" s="1"/>
  <c r="BD53" i="159" s="1"/>
  <c r="BC10" i="159"/>
  <c r="BB10" i="159"/>
  <c r="BA10" i="159"/>
  <c r="BA21" i="159" s="1"/>
  <c r="BA53" i="159" s="1"/>
  <c r="AX10" i="159"/>
  <c r="AX21" i="159" s="1"/>
  <c r="AX53" i="159" s="1"/>
  <c r="AS10" i="159"/>
  <c r="BU21" i="159"/>
  <c r="BT9" i="159"/>
  <c r="BF9" i="159"/>
  <c r="AS9" i="159"/>
  <c r="BT8" i="159"/>
  <c r="BF8" i="159"/>
  <c r="AR21" i="159"/>
  <c r="AQ8" i="159"/>
  <c r="AQ21" i="159" s="1"/>
  <c r="AP8" i="159"/>
  <c r="AP21" i="159" s="1"/>
  <c r="AO8" i="159"/>
  <c r="AO21" i="159" s="1"/>
  <c r="AN8" i="159"/>
  <c r="AM8" i="159"/>
  <c r="AM21" i="159" s="1"/>
  <c r="AL8" i="159"/>
  <c r="AK8" i="159"/>
  <c r="AJ8" i="159"/>
  <c r="AJ21" i="159" s="1"/>
  <c r="AI8" i="159"/>
  <c r="AI21" i="159" s="1"/>
  <c r="AH8" i="159"/>
  <c r="AH21" i="159" s="1"/>
  <c r="AG8" i="159"/>
  <c r="AG21" i="159" s="1"/>
  <c r="AF8" i="159"/>
  <c r="AS28" i="159" l="1"/>
  <c r="BU53" i="159"/>
  <c r="BT21" i="159"/>
  <c r="BF44" i="159"/>
  <c r="BU48" i="159"/>
  <c r="BT28" i="159"/>
  <c r="BL38" i="159"/>
  <c r="BM38" i="159" s="1"/>
  <c r="BG48" i="159"/>
  <c r="BF21" i="159"/>
  <c r="BF28" i="159"/>
  <c r="BF48" i="159" s="1"/>
  <c r="AS44" i="159"/>
  <c r="AS8" i="159"/>
  <c r="AR47" i="159"/>
  <c r="BI52" i="159"/>
  <c r="BF10" i="159"/>
  <c r="BT29" i="159"/>
  <c r="AR44" i="159"/>
  <c r="AR48" i="159" s="1"/>
  <c r="BK52" i="159"/>
  <c r="BT17" i="159"/>
  <c r="BJ42" i="159"/>
  <c r="BL52" i="159"/>
  <c r="BK42" i="159"/>
  <c r="BK44" i="159" s="1"/>
  <c r="BK48" i="159" s="1"/>
  <c r="AS48" i="159" l="1"/>
  <c r="AS21" i="159"/>
  <c r="AS53" i="159" s="1"/>
  <c r="AS52" i="159"/>
  <c r="BN38" i="159"/>
  <c r="BO38" i="159" s="1"/>
  <c r="BL42" i="159"/>
  <c r="BL44" i="159" s="1"/>
  <c r="BL48" i="159" s="1"/>
  <c r="BJ44" i="159"/>
  <c r="BJ48" i="159" l="1"/>
  <c r="BP38" i="159"/>
  <c r="BQ38" i="159" s="1"/>
  <c r="BM42" i="159"/>
  <c r="BT38" i="159" l="1"/>
  <c r="BM44" i="159"/>
  <c r="BN42" i="159"/>
  <c r="BO42" i="159" l="1"/>
  <c r="BO44" i="159" s="1"/>
  <c r="BO48" i="159" s="1"/>
  <c r="BN44" i="159"/>
  <c r="BN48" i="159" s="1"/>
  <c r="BM48" i="159"/>
  <c r="BP42" i="159" l="1"/>
  <c r="BP44" i="159" s="1"/>
  <c r="BP48" i="159" s="1"/>
  <c r="BQ42" i="159"/>
  <c r="BQ44" i="159" s="1"/>
  <c r="BQ48" i="159" s="1"/>
  <c r="BR42" i="159" l="1"/>
  <c r="BR44" i="159" s="1"/>
  <c r="BR48" i="159" s="1"/>
  <c r="BS42" i="159"/>
  <c r="BS44" i="159" s="1"/>
  <c r="BS48" i="159" s="1"/>
  <c r="K14" i="104"/>
  <c r="BT48" i="159" l="1"/>
  <c r="BT44" i="159"/>
  <c r="BT42" i="159"/>
  <c r="M23" i="93"/>
  <c r="M6" i="11" l="1"/>
  <c r="M20" i="11"/>
  <c r="M28" i="11"/>
  <c r="M33" i="11"/>
  <c r="M39" i="11"/>
  <c r="M42" i="11"/>
  <c r="M44" i="11"/>
  <c r="M46" i="11"/>
  <c r="M47" i="11"/>
  <c r="F18" i="157"/>
  <c r="F17" i="157"/>
  <c r="F16" i="157"/>
  <c r="F15" i="157"/>
  <c r="F14" i="157"/>
  <c r="F13" i="157"/>
  <c r="F12" i="157"/>
  <c r="F11" i="157"/>
  <c r="F10" i="157"/>
  <c r="A10" i="157"/>
  <c r="A11" i="157" s="1"/>
  <c r="A12" i="157" s="1"/>
  <c r="A13" i="157" s="1"/>
  <c r="A14" i="157" s="1"/>
  <c r="A15" i="157" s="1"/>
  <c r="A16" i="157" s="1"/>
  <c r="A17" i="157" s="1"/>
  <c r="A18" i="157" s="1"/>
  <c r="F9" i="157"/>
  <c r="A9" i="157"/>
  <c r="F8" i="157"/>
  <c r="G43" i="11" l="1"/>
  <c r="L48" i="11"/>
  <c r="I50" i="11"/>
  <c r="L31" i="11"/>
  <c r="J29" i="11"/>
  <c r="L16" i="11"/>
  <c r="L12" i="11"/>
  <c r="L8" i="11"/>
  <c r="I21" i="11"/>
  <c r="L51" i="11"/>
  <c r="L36" i="11"/>
  <c r="L25" i="11"/>
  <c r="G50" i="11"/>
  <c r="G53" i="11" s="1"/>
  <c r="L37" i="11"/>
  <c r="L26" i="11"/>
  <c r="L22" i="11"/>
  <c r="I29" i="11"/>
  <c r="G21" i="11"/>
  <c r="K29" i="11"/>
  <c r="J21" i="11"/>
  <c r="L32" i="11"/>
  <c r="G29" i="11"/>
  <c r="L17" i="11"/>
  <c r="L13" i="11"/>
  <c r="L9" i="11"/>
  <c r="G34" i="11"/>
  <c r="L49" i="11"/>
  <c r="L38" i="11"/>
  <c r="K40" i="11"/>
  <c r="L27" i="11"/>
  <c r="L23" i="11"/>
  <c r="K7" i="11"/>
  <c r="J50" i="11"/>
  <c r="J53" i="11" s="1"/>
  <c r="L52" i="11"/>
  <c r="K43" i="11"/>
  <c r="J40" i="11"/>
  <c r="K34" i="11"/>
  <c r="L18" i="11"/>
  <c r="L14" i="11"/>
  <c r="L10" i="11"/>
  <c r="J7" i="11"/>
  <c r="J43" i="11"/>
  <c r="I40" i="11"/>
  <c r="L35" i="11"/>
  <c r="J34" i="11"/>
  <c r="L24" i="11"/>
  <c r="I7" i="11"/>
  <c r="L5" i="11"/>
  <c r="L7" i="11" s="1"/>
  <c r="K50" i="11"/>
  <c r="K53" i="11" s="1"/>
  <c r="L41" i="11"/>
  <c r="L43" i="11" s="1"/>
  <c r="I43" i="11"/>
  <c r="G40" i="11"/>
  <c r="L30" i="11"/>
  <c r="L34" i="11" s="1"/>
  <c r="I34" i="11"/>
  <c r="L19" i="11"/>
  <c r="L15" i="11"/>
  <c r="L11" i="11"/>
  <c r="K21" i="11"/>
  <c r="G7" i="11"/>
  <c r="L23" i="93"/>
  <c r="K45" i="11" l="1"/>
  <c r="L21" i="11"/>
  <c r="L40" i="11"/>
  <c r="L29" i="11"/>
  <c r="J45" i="11"/>
  <c r="G45" i="11"/>
  <c r="I45" i="11"/>
  <c r="I53" i="11"/>
  <c r="L50" i="11"/>
  <c r="L53" i="11" s="1"/>
  <c r="K23" i="93"/>
  <c r="L45" i="11" l="1"/>
  <c r="C52" i="14"/>
  <c r="AD25" i="55" l="1"/>
  <c r="D51" i="14" l="1"/>
  <c r="I24" i="14" l="1"/>
  <c r="D24" i="14"/>
  <c r="O18" i="104" l="1"/>
  <c r="O17" i="104"/>
  <c r="O16" i="104"/>
  <c r="O15" i="104"/>
  <c r="O14" i="104"/>
  <c r="O13" i="104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E20" i="104"/>
  <c r="E24" i="104" s="1"/>
  <c r="D20" i="104"/>
  <c r="D24" i="104" s="1"/>
  <c r="D27" i="104" s="1"/>
  <c r="D48" i="11" l="1"/>
  <c r="M48" i="11" s="1"/>
  <c r="AD23" i="55"/>
  <c r="D21" i="14"/>
  <c r="I21" i="14"/>
  <c r="G24" i="104"/>
  <c r="G27" i="104" s="1"/>
  <c r="E27" i="104"/>
  <c r="H43" i="122" l="1"/>
  <c r="A3" i="122" l="1"/>
  <c r="C50" i="122"/>
  <c r="C53" i="122" s="1"/>
  <c r="M47" i="122"/>
  <c r="M46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3" i="14"/>
  <c r="J59" i="14"/>
  <c r="A3" i="106" l="1"/>
  <c r="O7" i="106"/>
  <c r="O7" i="105"/>
  <c r="A3" i="105"/>
  <c r="O16" i="105" l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20" i="104" s="1"/>
  <c r="O9" i="104"/>
  <c r="C24" i="104" l="1"/>
  <c r="O24" i="104" s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J9" i="106" s="1"/>
  <c r="H16" i="106"/>
  <c r="G25" i="106"/>
  <c r="G30" i="105"/>
  <c r="H9" i="105"/>
  <c r="J16" i="106" l="1"/>
  <c r="J20" i="106" s="1"/>
  <c r="J23" i="106" s="1"/>
  <c r="K9" i="106"/>
  <c r="H20" i="106"/>
  <c r="I16" i="106"/>
  <c r="I20" i="106" s="1"/>
  <c r="I23" i="106" s="1"/>
  <c r="I9" i="105"/>
  <c r="H30" i="105"/>
  <c r="L9" i="106" l="1"/>
  <c r="K16" i="106"/>
  <c r="K20" i="106" s="1"/>
  <c r="K23" i="106" s="1"/>
  <c r="J25" i="106"/>
  <c r="H23" i="106"/>
  <c r="H25" i="106" s="1"/>
  <c r="I25" i="106"/>
  <c r="I30" i="105"/>
  <c r="J9" i="105"/>
  <c r="K25" i="106" l="1"/>
  <c r="M9" i="106"/>
  <c r="L16" i="106"/>
  <c r="L20" i="106" s="1"/>
  <c r="L23" i="106" s="1"/>
  <c r="J30" i="105"/>
  <c r="K9" i="105"/>
  <c r="L25" i="106" l="1"/>
  <c r="N9" i="106"/>
  <c r="M16" i="106"/>
  <c r="M20" i="106" s="1"/>
  <c r="M23" i="106" s="1"/>
  <c r="L9" i="105"/>
  <c r="K30" i="105"/>
  <c r="M25" i="106" l="1"/>
  <c r="N16" i="106"/>
  <c r="N20" i="106" s="1"/>
  <c r="N23" i="106" s="1"/>
  <c r="L30" i="105"/>
  <c r="M9" i="105"/>
  <c r="N25" i="106" l="1"/>
  <c r="M30" i="105"/>
  <c r="N9" i="105"/>
  <c r="N30" i="105" s="1"/>
  <c r="O16" i="106" l="1"/>
  <c r="O20" i="106" l="1"/>
  <c r="O23" i="106" s="1"/>
  <c r="O25" i="106" s="1"/>
  <c r="K16" i="18" l="1"/>
  <c r="K18" i="18" l="1"/>
  <c r="K22" i="18"/>
  <c r="K23" i="18" s="1"/>
  <c r="K25" i="18" s="1"/>
  <c r="C23" i="18" l="1"/>
  <c r="C25" i="18" s="1"/>
  <c r="C50" i="11"/>
  <c r="C53" i="11" s="1"/>
  <c r="C40" i="11"/>
  <c r="C9" i="19" l="1"/>
  <c r="C15" i="19" l="1"/>
  <c r="C7" i="11" l="1"/>
  <c r="C21" i="11"/>
  <c r="C29" i="11"/>
  <c r="C34" i="11"/>
  <c r="C43" i="11"/>
  <c r="G18" i="18" l="1"/>
  <c r="C45" i="11"/>
  <c r="N21" i="18"/>
  <c r="N20" i="18"/>
  <c r="N19" i="18"/>
  <c r="N17" i="18"/>
  <c r="C16" i="18"/>
  <c r="C18" i="18" s="1"/>
  <c r="C58" i="14"/>
  <c r="C17" i="14"/>
  <c r="C13" i="14"/>
  <c r="C19" i="14" l="1"/>
  <c r="C60" i="14" s="1"/>
  <c r="N19" i="93" l="1"/>
  <c r="D35" i="11" l="1"/>
  <c r="M35" i="11" s="1"/>
  <c r="D10" i="11"/>
  <c r="M10" i="11" s="1"/>
  <c r="D26" i="11"/>
  <c r="M26" i="11" s="1"/>
  <c r="D27" i="11"/>
  <c r="M27" i="11" s="1"/>
  <c r="D8" i="11"/>
  <c r="M8" i="11" s="1"/>
  <c r="D18" i="11"/>
  <c r="M18" i="11" s="1"/>
  <c r="D24" i="11"/>
  <c r="M24" i="11" s="1"/>
  <c r="D22" i="11"/>
  <c r="M22" i="11" s="1"/>
  <c r="D36" i="11"/>
  <c r="M36" i="11" s="1"/>
  <c r="D11" i="11"/>
  <c r="M11" i="11" s="1"/>
  <c r="D51" i="11"/>
  <c r="M51" i="11" s="1"/>
  <c r="D38" i="11"/>
  <c r="M38" i="11" s="1"/>
  <c r="D49" i="11"/>
  <c r="D9" i="11"/>
  <c r="M9" i="11" s="1"/>
  <c r="D37" i="11"/>
  <c r="M37" i="11" s="1"/>
  <c r="D30" i="11"/>
  <c r="M30" i="11" s="1"/>
  <c r="D14" i="11"/>
  <c r="M14" i="11" s="1"/>
  <c r="D25" i="11"/>
  <c r="M25" i="11" s="1"/>
  <c r="D23" i="11"/>
  <c r="M23" i="11" s="1"/>
  <c r="D5" i="11"/>
  <c r="D19" i="11"/>
  <c r="M19" i="11" s="1"/>
  <c r="D32" i="11"/>
  <c r="M32" i="11" s="1"/>
  <c r="D15" i="11"/>
  <c r="M15" i="11" s="1"/>
  <c r="D17" i="11"/>
  <c r="M17" i="11" s="1"/>
  <c r="D52" i="11"/>
  <c r="M52" i="11" s="1"/>
  <c r="D16" i="11"/>
  <c r="M16" i="11" s="1"/>
  <c r="D31" i="11"/>
  <c r="M31" i="11" s="1"/>
  <c r="D41" i="11"/>
  <c r="D13" i="11"/>
  <c r="M13" i="11" s="1"/>
  <c r="D12" i="11"/>
  <c r="M12" i="11" s="1"/>
  <c r="D43" i="11" l="1"/>
  <c r="M43" i="11" s="1"/>
  <c r="M41" i="11"/>
  <c r="D7" i="11"/>
  <c r="M7" i="11" s="1"/>
  <c r="M5" i="11"/>
  <c r="D50" i="11"/>
  <c r="M50" i="11" s="1"/>
  <c r="M49" i="11"/>
  <c r="D29" i="11"/>
  <c r="M29" i="11" s="1"/>
  <c r="D40" i="11"/>
  <c r="M40" i="11" s="1"/>
  <c r="D21" i="11"/>
  <c r="M21" i="11" s="1"/>
  <c r="D34" i="11"/>
  <c r="M34" i="11" s="1"/>
  <c r="D53" i="11" l="1"/>
  <c r="M53" i="11" s="1"/>
  <c r="D45" i="11"/>
  <c r="M45" i="11" s="1"/>
  <c r="I57" i="14" l="1"/>
  <c r="I50" i="122"/>
  <c r="L48" i="122"/>
  <c r="M48" i="122"/>
  <c r="L28" i="17"/>
  <c r="N28" i="17" s="1"/>
  <c r="F40" i="17"/>
  <c r="J9" i="17"/>
  <c r="L18" i="17"/>
  <c r="N18" i="17" s="1"/>
  <c r="I43" i="122"/>
  <c r="L41" i="122"/>
  <c r="L43" i="122" s="1"/>
  <c r="M41" i="122"/>
  <c r="N12" i="93"/>
  <c r="N20" i="93"/>
  <c r="L37" i="122"/>
  <c r="M37" i="122"/>
  <c r="I26" i="14"/>
  <c r="S27" i="55"/>
  <c r="S31" i="55" s="1"/>
  <c r="D38" i="12"/>
  <c r="M11" i="18"/>
  <c r="D11" i="18"/>
  <c r="N11" i="18" s="1"/>
  <c r="K29" i="12"/>
  <c r="M29" i="12"/>
  <c r="D29" i="17"/>
  <c r="D25" i="14"/>
  <c r="J25" i="14" s="1"/>
  <c r="I33" i="12"/>
  <c r="L13" i="12"/>
  <c r="N13" i="12" s="1"/>
  <c r="D37" i="14"/>
  <c r="J37" i="14" s="1"/>
  <c r="AD22" i="55"/>
  <c r="G38" i="17"/>
  <c r="AD19" i="55"/>
  <c r="L28" i="12"/>
  <c r="N28" i="12" s="1"/>
  <c r="H29" i="12"/>
  <c r="AD21" i="55"/>
  <c r="F9" i="12"/>
  <c r="M33" i="17"/>
  <c r="H33" i="17"/>
  <c r="D11" i="14"/>
  <c r="J11" i="14" s="1"/>
  <c r="K33" i="12"/>
  <c r="M14" i="18"/>
  <c r="D14" i="18"/>
  <c r="N14" i="18" s="1"/>
  <c r="H38" i="17"/>
  <c r="K7" i="122"/>
  <c r="M9" i="12"/>
  <c r="D28" i="14"/>
  <c r="J28" i="14" s="1"/>
  <c r="AD7" i="55"/>
  <c r="C27" i="55"/>
  <c r="C31" i="55" s="1"/>
  <c r="Y27" i="55"/>
  <c r="Y31" i="55" s="1"/>
  <c r="D46" i="14"/>
  <c r="J46" i="14" s="1"/>
  <c r="J38" i="17"/>
  <c r="E29" i="17"/>
  <c r="L23" i="17"/>
  <c r="AD17" i="55"/>
  <c r="J40" i="122"/>
  <c r="M25" i="122"/>
  <c r="L25" i="122"/>
  <c r="G9" i="17"/>
  <c r="J22" i="17"/>
  <c r="G9" i="12"/>
  <c r="I23" i="14"/>
  <c r="I9" i="14"/>
  <c r="D33" i="12"/>
  <c r="K40" i="12"/>
  <c r="L26" i="12"/>
  <c r="N26" i="12" s="1"/>
  <c r="F22" i="12"/>
  <c r="D49" i="14"/>
  <c r="J49" i="14" s="1"/>
  <c r="I40" i="14"/>
  <c r="D30" i="14"/>
  <c r="J30" i="14" s="1"/>
  <c r="I55" i="14"/>
  <c r="D12" i="18"/>
  <c r="N12" i="18" s="1"/>
  <c r="M12" i="18"/>
  <c r="N18" i="93"/>
  <c r="L24" i="12"/>
  <c r="N24" i="12" s="1"/>
  <c r="D47" i="14"/>
  <c r="J47" i="14" s="1"/>
  <c r="AD15" i="55"/>
  <c r="D9" i="14"/>
  <c r="J9" i="14" s="1"/>
  <c r="AD28" i="55"/>
  <c r="L25" i="12"/>
  <c r="N25" i="12" s="1"/>
  <c r="M35" i="122"/>
  <c r="L35" i="122"/>
  <c r="I40" i="122"/>
  <c r="M40" i="122" s="1"/>
  <c r="L16" i="17"/>
  <c r="N16" i="17" s="1"/>
  <c r="Q27" i="55"/>
  <c r="Q31" i="55" s="1"/>
  <c r="L11" i="17"/>
  <c r="N11" i="17" s="1"/>
  <c r="I22" i="17"/>
  <c r="F38" i="17"/>
  <c r="J21" i="122"/>
  <c r="C40" i="17"/>
  <c r="G40" i="17"/>
  <c r="L17" i="12"/>
  <c r="N17" i="12" s="1"/>
  <c r="D26" i="14"/>
  <c r="J26" i="14" s="1"/>
  <c r="L17" i="122"/>
  <c r="M17" i="122"/>
  <c r="M22" i="12"/>
  <c r="L35" i="12"/>
  <c r="N35" i="12" s="1"/>
  <c r="D38" i="17"/>
  <c r="L11" i="122"/>
  <c r="M11" i="122"/>
  <c r="C38" i="17"/>
  <c r="J33" i="17"/>
  <c r="D23" i="14"/>
  <c r="J23" i="14" s="1"/>
  <c r="J23" i="18"/>
  <c r="J25" i="18" s="1"/>
  <c r="M40" i="12"/>
  <c r="N10" i="93"/>
  <c r="I30" i="14"/>
  <c r="AD10" i="55"/>
  <c r="L25" i="17"/>
  <c r="N25" i="17" s="1"/>
  <c r="I29" i="12"/>
  <c r="L38" i="122"/>
  <c r="M38" i="122"/>
  <c r="L32" i="17"/>
  <c r="N32" i="17" s="1"/>
  <c r="F22" i="17"/>
  <c r="AD13" i="55"/>
  <c r="M22" i="17"/>
  <c r="F40" i="12"/>
  <c r="M9" i="122"/>
  <c r="L9" i="122"/>
  <c r="D31" i="14"/>
  <c r="J31" i="14" s="1"/>
  <c r="L34" i="17"/>
  <c r="E38" i="17"/>
  <c r="I46" i="14"/>
  <c r="D38" i="14"/>
  <c r="J38" i="14" s="1"/>
  <c r="K38" i="12"/>
  <c r="L52" i="122"/>
  <c r="M52" i="122"/>
  <c r="K9" i="12"/>
  <c r="H52" i="14"/>
  <c r="P27" i="55"/>
  <c r="P31" i="55" s="1"/>
  <c r="F29" i="12"/>
  <c r="M22" i="18"/>
  <c r="D22" i="18"/>
  <c r="D23" i="18" s="1"/>
  <c r="I23" i="18"/>
  <c r="W27" i="55"/>
  <c r="W31" i="55" s="1"/>
  <c r="I41" i="14"/>
  <c r="D29" i="12"/>
  <c r="D33" i="14"/>
  <c r="J33" i="14" s="1"/>
  <c r="M40" i="17"/>
  <c r="AD16" i="55"/>
  <c r="F29" i="17"/>
  <c r="G29" i="17"/>
  <c r="J40" i="17"/>
  <c r="I35" i="14"/>
  <c r="J34" i="122"/>
  <c r="D15" i="14"/>
  <c r="D17" i="14" s="1"/>
  <c r="F17" i="14"/>
  <c r="J27" i="55"/>
  <c r="J31" i="55" s="1"/>
  <c r="C9" i="17"/>
  <c r="H22" i="17"/>
  <c r="F13" i="14"/>
  <c r="D8" i="14"/>
  <c r="J8" i="14" s="1"/>
  <c r="M13" i="18"/>
  <c r="D13" i="18"/>
  <c r="N13" i="18" s="1"/>
  <c r="X27" i="55"/>
  <c r="X31" i="55" s="1"/>
  <c r="G23" i="18"/>
  <c r="I32" i="14"/>
  <c r="D22" i="17"/>
  <c r="B23" i="93"/>
  <c r="N8" i="93"/>
  <c r="D42" i="14"/>
  <c r="J42" i="14" s="1"/>
  <c r="H9" i="12"/>
  <c r="L24" i="17"/>
  <c r="N24" i="17" s="1"/>
  <c r="L30" i="122"/>
  <c r="I34" i="122"/>
  <c r="M34" i="122" s="1"/>
  <c r="M30" i="122"/>
  <c r="D9" i="18"/>
  <c r="N9" i="18" s="1"/>
  <c r="M9" i="18"/>
  <c r="K29" i="122"/>
  <c r="I33" i="17"/>
  <c r="C38" i="12"/>
  <c r="L27" i="122"/>
  <c r="M27" i="122"/>
  <c r="D9" i="12"/>
  <c r="AD30" i="55"/>
  <c r="C29" i="12"/>
  <c r="K34" i="122"/>
  <c r="G22" i="17"/>
  <c r="AD14" i="55"/>
  <c r="L30" i="17"/>
  <c r="E33" i="17"/>
  <c r="D8" i="18"/>
  <c r="M8" i="18"/>
  <c r="I16" i="18"/>
  <c r="I18" i="18" s="1"/>
  <c r="L32" i="12"/>
  <c r="N32" i="12" s="1"/>
  <c r="L16" i="12"/>
  <c r="N16" i="12" s="1"/>
  <c r="G33" i="17"/>
  <c r="D22" i="12"/>
  <c r="H13" i="14"/>
  <c r="K29" i="17"/>
  <c r="I38" i="14"/>
  <c r="AD9" i="55"/>
  <c r="D9" i="17"/>
  <c r="L8" i="12"/>
  <c r="L9" i="12" s="1"/>
  <c r="E9" i="12"/>
  <c r="D50" i="14"/>
  <c r="J50" i="14" s="1"/>
  <c r="D27" i="14"/>
  <c r="J27" i="14" s="1"/>
  <c r="D41" i="14"/>
  <c r="J41" i="14" s="1"/>
  <c r="K27" i="55"/>
  <c r="K31" i="55" s="1"/>
  <c r="I37" i="14"/>
  <c r="L26" i="17"/>
  <c r="N26" i="17" s="1"/>
  <c r="M26" i="122"/>
  <c r="L26" i="122"/>
  <c r="C33" i="12"/>
  <c r="N21" i="93"/>
  <c r="G38" i="12"/>
  <c r="M38" i="17"/>
  <c r="K43" i="122"/>
  <c r="M15" i="18"/>
  <c r="D15" i="18"/>
  <c r="N15" i="18" s="1"/>
  <c r="D24" i="18"/>
  <c r="N24" i="18" s="1"/>
  <c r="M24" i="18"/>
  <c r="I9" i="17"/>
  <c r="I29" i="14"/>
  <c r="J22" i="12"/>
  <c r="M5" i="122"/>
  <c r="I7" i="122"/>
  <c r="M7" i="122" s="1"/>
  <c r="L5" i="122"/>
  <c r="L7" i="122" s="1"/>
  <c r="D45" i="14"/>
  <c r="J45" i="14" s="1"/>
  <c r="D33" i="17"/>
  <c r="L20" i="17"/>
  <c r="N20" i="17" s="1"/>
  <c r="T27" i="55"/>
  <c r="T31" i="55" s="1"/>
  <c r="C33" i="17"/>
  <c r="L11" i="12"/>
  <c r="N11" i="12" s="1"/>
  <c r="J50" i="122"/>
  <c r="J53" i="122" s="1"/>
  <c r="I25" i="14"/>
  <c r="L10" i="122"/>
  <c r="M10" i="122"/>
  <c r="J33" i="12"/>
  <c r="G13" i="14"/>
  <c r="I8" i="14"/>
  <c r="L14" i="12"/>
  <c r="N14" i="12" s="1"/>
  <c r="I38" i="12"/>
  <c r="J16" i="18"/>
  <c r="J18" i="18" s="1"/>
  <c r="D48" i="14"/>
  <c r="J48" i="14" s="1"/>
  <c r="L27" i="55"/>
  <c r="L31" i="55" s="1"/>
  <c r="H17" i="14"/>
  <c r="L37" i="12"/>
  <c r="N37" i="12" s="1"/>
  <c r="L30" i="12"/>
  <c r="L33" i="12" s="1"/>
  <c r="E33" i="12"/>
  <c r="J29" i="122"/>
  <c r="M36" i="122"/>
  <c r="L36" i="122"/>
  <c r="G33" i="12"/>
  <c r="K40" i="122"/>
  <c r="H58" i="14"/>
  <c r="F33" i="17"/>
  <c r="M12" i="122"/>
  <c r="L12" i="122"/>
  <c r="L39" i="17"/>
  <c r="L40" i="17" s="1"/>
  <c r="E40" i="17"/>
  <c r="M14" i="122"/>
  <c r="L14" i="122"/>
  <c r="C22" i="12"/>
  <c r="J40" i="12"/>
  <c r="R27" i="55"/>
  <c r="R31" i="55" s="1"/>
  <c r="L21" i="12"/>
  <c r="N21" i="12" s="1"/>
  <c r="D39" i="14"/>
  <c r="J39" i="14" s="1"/>
  <c r="L15" i="12"/>
  <c r="N15" i="12" s="1"/>
  <c r="L18" i="12"/>
  <c r="N18" i="12" s="1"/>
  <c r="I33" i="14"/>
  <c r="G52" i="14"/>
  <c r="I22" i="14"/>
  <c r="M24" i="122"/>
  <c r="L24" i="122"/>
  <c r="F33" i="12"/>
  <c r="M32" i="122"/>
  <c r="L32" i="122"/>
  <c r="N15" i="93"/>
  <c r="AA27" i="55"/>
  <c r="AA31" i="55" s="1"/>
  <c r="M10" i="18"/>
  <c r="D10" i="18"/>
  <c r="N10" i="18" s="1"/>
  <c r="I39" i="14"/>
  <c r="D35" i="14"/>
  <c r="J35" i="14" s="1"/>
  <c r="N13" i="93"/>
  <c r="I47" i="14"/>
  <c r="L27" i="12"/>
  <c r="N27" i="12" s="1"/>
  <c r="H27" i="55"/>
  <c r="H31" i="55" s="1"/>
  <c r="I54" i="14"/>
  <c r="G58" i="14"/>
  <c r="AD12" i="55"/>
  <c r="AD29" i="55"/>
  <c r="N14" i="93"/>
  <c r="J43" i="122"/>
  <c r="D56" i="14"/>
  <c r="J56" i="14" s="1"/>
  <c r="L23" i="122"/>
  <c r="M23" i="122"/>
  <c r="H40" i="12"/>
  <c r="L13" i="17"/>
  <c r="N13" i="17" s="1"/>
  <c r="E38" i="12"/>
  <c r="L34" i="12"/>
  <c r="L36" i="17"/>
  <c r="N36" i="17" s="1"/>
  <c r="M33" i="12"/>
  <c r="M31" i="122"/>
  <c r="L31" i="122"/>
  <c r="L15" i="17"/>
  <c r="N15" i="17" s="1"/>
  <c r="I21" i="122"/>
  <c r="M21" i="122" s="1"/>
  <c r="L8" i="122"/>
  <c r="M8" i="122"/>
  <c r="D29" i="14"/>
  <c r="J29" i="14" s="1"/>
  <c r="O27" i="55"/>
  <c r="O31" i="55" s="1"/>
  <c r="L35" i="17"/>
  <c r="N35" i="17" s="1"/>
  <c r="M9" i="17"/>
  <c r="H40" i="17"/>
  <c r="E27" i="55"/>
  <c r="E31" i="55" s="1"/>
  <c r="L16" i="18"/>
  <c r="L18" i="18" s="1"/>
  <c r="L12" i="17"/>
  <c r="N12" i="17" s="1"/>
  <c r="F58" i="14"/>
  <c r="D54" i="14"/>
  <c r="I10" i="14"/>
  <c r="K40" i="17"/>
  <c r="H38" i="12"/>
  <c r="I34" i="14"/>
  <c r="L19" i="17"/>
  <c r="N19" i="17" s="1"/>
  <c r="K22" i="12"/>
  <c r="K42" i="12" s="1"/>
  <c r="D32" i="14"/>
  <c r="J32" i="14" s="1"/>
  <c r="D40" i="12"/>
  <c r="C29" i="17"/>
  <c r="N27" i="55"/>
  <c r="N31" i="55" s="1"/>
  <c r="AC27" i="55"/>
  <c r="AC31" i="55" s="1"/>
  <c r="K50" i="122"/>
  <c r="K53" i="122" s="1"/>
  <c r="L37" i="17"/>
  <c r="N37" i="17" s="1"/>
  <c r="L12" i="12"/>
  <c r="N12" i="12" s="1"/>
  <c r="J38" i="12"/>
  <c r="L36" i="12"/>
  <c r="N36" i="12" s="1"/>
  <c r="I45" i="14"/>
  <c r="D34" i="14"/>
  <c r="J34" i="14" s="1"/>
  <c r="D22" i="14"/>
  <c r="F52" i="14"/>
  <c r="G22" i="12"/>
  <c r="L27" i="17"/>
  <c r="N27" i="17" s="1"/>
  <c r="I50" i="14"/>
  <c r="I40" i="17"/>
  <c r="N16" i="93"/>
  <c r="D36" i="14"/>
  <c r="J36" i="14" s="1"/>
  <c r="L14" i="17"/>
  <c r="N14" i="17" s="1"/>
  <c r="M49" i="122"/>
  <c r="L49" i="122"/>
  <c r="AD20" i="55"/>
  <c r="D40" i="14"/>
  <c r="J40" i="14" s="1"/>
  <c r="M38" i="12"/>
  <c r="G27" i="55"/>
  <c r="G31" i="55" s="1"/>
  <c r="D55" i="14"/>
  <c r="J55" i="14" s="1"/>
  <c r="AB27" i="55"/>
  <c r="AB31" i="55" s="1"/>
  <c r="L31" i="12"/>
  <c r="N31" i="12" s="1"/>
  <c r="N11" i="93"/>
  <c r="J9" i="12"/>
  <c r="J29" i="12"/>
  <c r="H22" i="12"/>
  <c r="I36" i="14"/>
  <c r="I31" i="14"/>
  <c r="F27" i="55"/>
  <c r="F31" i="55" s="1"/>
  <c r="I28" i="14"/>
  <c r="AD18" i="55"/>
  <c r="N9" i="93"/>
  <c r="M29" i="17"/>
  <c r="M51" i="122"/>
  <c r="L51" i="122"/>
  <c r="AD24" i="55"/>
  <c r="U27" i="55"/>
  <c r="U31" i="55" s="1"/>
  <c r="L20" i="12"/>
  <c r="N20" i="12" s="1"/>
  <c r="L19" i="12"/>
  <c r="N19" i="12" s="1"/>
  <c r="D57" i="14"/>
  <c r="J57" i="14" s="1"/>
  <c r="AD8" i="55"/>
  <c r="G29" i="12"/>
  <c r="L31" i="17"/>
  <c r="N31" i="17" s="1"/>
  <c r="D10" i="14"/>
  <c r="J10" i="14" s="1"/>
  <c r="L21" i="17"/>
  <c r="N21" i="17" s="1"/>
  <c r="I27" i="55"/>
  <c r="I31" i="55" s="1"/>
  <c r="L13" i="122"/>
  <c r="M13" i="122"/>
  <c r="I15" i="14"/>
  <c r="I17" i="14" s="1"/>
  <c r="G17" i="14"/>
  <c r="J15" i="14"/>
  <c r="I22" i="12"/>
  <c r="V27" i="55"/>
  <c r="V31" i="55" s="1"/>
  <c r="L23" i="12"/>
  <c r="L29" i="12" s="1"/>
  <c r="E29" i="12"/>
  <c r="I56" i="14"/>
  <c r="I38" i="17"/>
  <c r="G40" i="12"/>
  <c r="I27" i="14"/>
  <c r="M18" i="122"/>
  <c r="L18" i="122"/>
  <c r="L17" i="17"/>
  <c r="N17" i="17" s="1"/>
  <c r="L39" i="12"/>
  <c r="L40" i="12" s="1"/>
  <c r="E40" i="12"/>
  <c r="M27" i="55"/>
  <c r="M31" i="55" s="1"/>
  <c r="K9" i="17"/>
  <c r="H33" i="12"/>
  <c r="H9" i="17"/>
  <c r="M19" i="122"/>
  <c r="L19" i="122"/>
  <c r="AD6" i="55"/>
  <c r="C22" i="17"/>
  <c r="I40" i="12"/>
  <c r="I42" i="12" s="1"/>
  <c r="I11" i="14"/>
  <c r="D43" i="14"/>
  <c r="J43" i="14" s="1"/>
  <c r="D44" i="14"/>
  <c r="J44" i="14" s="1"/>
  <c r="I49" i="14"/>
  <c r="D40" i="17"/>
  <c r="D42" i="17" s="1"/>
  <c r="E9" i="17"/>
  <c r="L8" i="17"/>
  <c r="L9" i="17" s="1"/>
  <c r="F38" i="12"/>
  <c r="AD11" i="55"/>
  <c r="K22" i="17"/>
  <c r="D27" i="55"/>
  <c r="D31" i="55" s="1"/>
  <c r="K33" i="17"/>
  <c r="I42" i="14"/>
  <c r="C9" i="12"/>
  <c r="N8" i="12"/>
  <c r="N9" i="12" s="1"/>
  <c r="E22" i="12"/>
  <c r="L10" i="12"/>
  <c r="L23" i="18"/>
  <c r="L25" i="18" s="1"/>
  <c r="J7" i="122"/>
  <c r="K38" i="17"/>
  <c r="L10" i="17"/>
  <c r="E22" i="17"/>
  <c r="I9" i="12"/>
  <c r="C40" i="12"/>
  <c r="C42" i="12" s="1"/>
  <c r="F9" i="17"/>
  <c r="N17" i="93"/>
  <c r="J29" i="17"/>
  <c r="I44" i="14"/>
  <c r="M16" i="122"/>
  <c r="L16" i="122"/>
  <c r="M15" i="122"/>
  <c r="L15" i="122"/>
  <c r="H29" i="17"/>
  <c r="I48" i="14"/>
  <c r="L22" i="122"/>
  <c r="L29" i="122" s="1"/>
  <c r="M22" i="122"/>
  <c r="I29" i="122"/>
  <c r="M29" i="122" s="1"/>
  <c r="I29" i="17"/>
  <c r="Z27" i="55"/>
  <c r="Z31" i="55" s="1"/>
  <c r="I43" i="14"/>
  <c r="K21" i="122"/>
  <c r="N39" i="12" l="1"/>
  <c r="N40" i="12" s="1"/>
  <c r="N10" i="12"/>
  <c r="N22" i="12" s="1"/>
  <c r="L22" i="12"/>
  <c r="G19" i="14"/>
  <c r="G60" i="14" s="1"/>
  <c r="J17" i="14"/>
  <c r="G42" i="12"/>
  <c r="I42" i="17"/>
  <c r="D42" i="12"/>
  <c r="J54" i="14"/>
  <c r="D58" i="14"/>
  <c r="H19" i="14"/>
  <c r="M16" i="18"/>
  <c r="M18" i="18" s="1"/>
  <c r="N23" i="93"/>
  <c r="D19" i="14"/>
  <c r="J19" i="14" s="1"/>
  <c r="N39" i="17"/>
  <c r="N40" i="17" s="1"/>
  <c r="J45" i="122"/>
  <c r="N8" i="18"/>
  <c r="D16" i="18"/>
  <c r="D18" i="18" s="1"/>
  <c r="N18" i="18" s="1"/>
  <c r="D13" i="14"/>
  <c r="J13" i="14" s="1"/>
  <c r="N34" i="17"/>
  <c r="N38" i="17" s="1"/>
  <c r="L38" i="17"/>
  <c r="M42" i="12"/>
  <c r="L40" i="122"/>
  <c r="N34" i="12"/>
  <c r="N38" i="12" s="1"/>
  <c r="L38" i="12"/>
  <c r="L42" i="12" s="1"/>
  <c r="E42" i="17"/>
  <c r="N30" i="12"/>
  <c r="N33" i="12" s="1"/>
  <c r="F42" i="17"/>
  <c r="E42" i="12"/>
  <c r="L21" i="122"/>
  <c r="N30" i="17"/>
  <c r="N33" i="17" s="1"/>
  <c r="L33" i="17"/>
  <c r="J42" i="17"/>
  <c r="AD27" i="55"/>
  <c r="AD31" i="55" s="1"/>
  <c r="N10" i="17"/>
  <c r="N22" i="17" s="1"/>
  <c r="L22" i="17"/>
  <c r="L34" i="122"/>
  <c r="N22" i="18"/>
  <c r="N8" i="17"/>
  <c r="N9" i="17" s="1"/>
  <c r="I25" i="18"/>
  <c r="M23" i="18"/>
  <c r="M25" i="18" s="1"/>
  <c r="J22" i="14"/>
  <c r="D52" i="14"/>
  <c r="J52" i="14" s="1"/>
  <c r="H42" i="17"/>
  <c r="H42" i="12"/>
  <c r="G25" i="18"/>
  <c r="N23" i="18"/>
  <c r="D25" i="18"/>
  <c r="F42" i="12"/>
  <c r="N23" i="17"/>
  <c r="L29" i="17"/>
  <c r="K42" i="17"/>
  <c r="I58" i="14"/>
  <c r="I52" i="14"/>
  <c r="J42" i="12"/>
  <c r="I13" i="14"/>
  <c r="I19" i="14" s="1"/>
  <c r="K45" i="122"/>
  <c r="N29" i="17"/>
  <c r="L45" i="122"/>
  <c r="I53" i="122"/>
  <c r="M53" i="122" s="1"/>
  <c r="M50" i="122"/>
  <c r="L50" i="122"/>
  <c r="L53" i="122" s="1"/>
  <c r="C42" i="17"/>
  <c r="H60" i="14"/>
  <c r="N23" i="12"/>
  <c r="N29" i="12" s="1"/>
  <c r="F19" i="14"/>
  <c r="F60" i="14" s="1"/>
  <c r="M42" i="17"/>
  <c r="G42" i="17"/>
  <c r="M43" i="122"/>
  <c r="I45" i="122"/>
  <c r="M45" i="122" s="1"/>
  <c r="N25" i="18" l="1"/>
  <c r="N42" i="17"/>
  <c r="I60" i="14"/>
  <c r="L42" i="17"/>
  <c r="J58" i="14"/>
  <c r="D60" i="14"/>
  <c r="J60" i="14" s="1"/>
  <c r="N42" i="12"/>
</calcChain>
</file>

<file path=xl/sharedStrings.xml><?xml version="1.0" encoding="utf-8"?>
<sst xmlns="http://schemas.openxmlformats.org/spreadsheetml/2006/main" count="1305" uniqueCount="600">
  <si>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</si>
  <si>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</si>
  <si>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</si>
  <si>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</si>
  <si>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</si>
  <si>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</si>
  <si>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</si>
  <si>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</si>
  <si>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</si>
  <si>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</si>
  <si>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</si>
  <si>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</si>
  <si>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</si>
  <si>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</si>
  <si>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</si>
  <si>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</si>
  <si>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</si>
  <si>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</si>
  <si>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</si>
  <si>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</si>
  <si>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</si>
  <si>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</si>
  <si>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</si>
  <si>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</si>
  <si>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</si>
  <si>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</si>
  <si>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</si>
  <si>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</si>
  <si>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</si>
  <si>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</si>
  <si>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</si>
  <si>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</si>
  <si>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</si>
  <si>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</si>
  <si>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</si>
  <si>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</si>
  <si>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</si>
  <si>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</si>
  <si>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</si>
  <si>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</si>
  <si>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</si>
  <si>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</si>
  <si>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</si>
  <si>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</si>
  <si>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</si>
  <si>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</si>
  <si>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</si>
  <si>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</si>
  <si>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</si>
  <si>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</si>
  <si>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</si>
  <si>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</si>
  <si>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</si>
  <si>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</si>
  <si>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</si>
  <si>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</si>
  <si>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</si>
  <si>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</si>
  <si>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</si>
  <si>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</si>
  <si>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</si>
  <si>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</si>
  <si>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</si>
  <si>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</si>
  <si>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</si>
  <si>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</si>
  <si>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</si>
  <si>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</si>
  <si>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</si>
  <si>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</si>
  <si>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</si>
  <si>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</si>
  <si>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</si>
  <si>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</si>
  <si>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</si>
  <si>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</si>
  <si>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</si>
  <si>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</si>
  <si>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</si>
  <si>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</si>
  <si>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</si>
  <si>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</si>
  <si>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</si>
  <si>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</si>
  <si>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</si>
  <si>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</si>
  <si>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</si>
  <si>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</si>
  <si>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</si>
  <si>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</si>
  <si>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</si>
  <si>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</si>
  <si>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</si>
  <si>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</si>
  <si>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</si>
  <si>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</si>
  <si>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</si>
  <si>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</si>
  <si>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</si>
  <si>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</si>
  <si>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</si>
  <si>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</si>
  <si>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</si>
  <si>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</si>
  <si>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</si>
  <si>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</si>
  <si>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</si>
  <si>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</si>
  <si>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</si>
  <si>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</si>
  <si>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</si>
  <si>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</si>
  <si>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</si>
  <si>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</si>
  <si>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</si>
  <si>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</si>
  <si>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</si>
  <si>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</si>
  <si>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</si>
  <si>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</si>
  <si>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</si>
  <si>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</si>
  <si>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</si>
  <si>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</si>
  <si>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</si>
  <si>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</si>
  <si>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</si>
  <si>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</si>
  <si>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</si>
  <si>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</si>
  <si>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</si>
  <si>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</si>
  <si>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</si>
  <si>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</si>
  <si>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</si>
  <si>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</si>
  <si>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</si>
  <si>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</si>
  <si>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</si>
  <si>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</si>
  <si>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</si>
  <si>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</si>
  <si>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</si>
  <si>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</si>
  <si>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</si>
  <si>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</si>
  <si>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</si>
  <si>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</si>
  <si>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</si>
  <si>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</si>
  <si>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</si>
  <si>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</si>
  <si>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</si>
  <si>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</si>
  <si>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</si>
  <si>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</si>
  <si>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</si>
  <si>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</si>
  <si>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</si>
  <si>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</si>
  <si>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</si>
  <si>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</si>
  <si>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</si>
  <si>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</si>
  <si>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</si>
  <si>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</si>
  <si>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</si>
  <si>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</si>
  <si>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</si>
  <si>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</si>
  <si>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</si>
  <si>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</si>
  <si>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</si>
  <si>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</si>
  <si>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</si>
  <si>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</si>
  <si>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</si>
  <si>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</si>
  <si>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</si>
  <si>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</si>
  <si>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</si>
  <si>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</si>
  <si>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</si>
  <si>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</si>
  <si>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</si>
  <si>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</si>
  <si>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</si>
  <si>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</si>
  <si>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</si>
  <si>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</si>
  <si>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</si>
  <si>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</si>
  <si>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</si>
  <si>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</si>
  <si>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</si>
  <si>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</si>
  <si>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</si>
  <si>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</si>
  <si>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</si>
  <si>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</si>
  <si>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</si>
  <si>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</si>
  <si>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</si>
  <si>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</si>
  <si>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</si>
  <si>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</si>
  <si>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</si>
  <si>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</si>
  <si>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</si>
  <si>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</si>
  <si>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</si>
  <si>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</si>
  <si>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</si>
  <si>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</si>
  <si>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</si>
  <si>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</si>
  <si>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</si>
  <si>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</si>
  <si>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</si>
  <si>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</si>
  <si>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</si>
  <si>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</si>
  <si>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</si>
  <si>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</si>
  <si>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</si>
  <si>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</si>
  <si>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</si>
  <si>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</si>
  <si>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</si>
  <si>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</si>
  <si>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</si>
  <si>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</si>
  <si>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</si>
  <si>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</si>
  <si>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</si>
  <si>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</si>
  <si>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</si>
  <si>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</si>
  <si>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</si>
  <si>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</si>
  <si>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</si>
  <si>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</si>
  <si>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</si>
  <si>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</si>
  <si>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</si>
  <si>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</si>
  <si>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</si>
  <si>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</si>
  <si>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</si>
  <si>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</si>
  <si>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</si>
  <si>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</si>
  <si>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</si>
  <si>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</si>
  <si>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</si>
  <si>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</si>
  <si>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</si>
  <si>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</si>
  <si>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</si>
  <si>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</si>
  <si>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</si>
  <si>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</si>
  <si>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</si>
  <si>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</si>
  <si>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</si>
  <si>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</si>
  <si>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</si>
  <si>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</si>
  <si>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</si>
  <si>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</si>
  <si>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</si>
  <si>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</si>
  <si>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</si>
  <si>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</si>
  <si>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</si>
  <si>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</si>
  <si>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</si>
  <si>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</si>
  <si>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</si>
  <si>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</si>
  <si>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</si>
  <si>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</si>
  <si>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</si>
  <si>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</si>
  <si>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</si>
  <si>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</si>
  <si>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</si>
  <si>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</si>
  <si>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</si>
  <si>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</si>
  <si>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</si>
  <si>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</si>
  <si>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</si>
  <si>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</si>
  <si>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</si>
  <si>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</si>
  <si>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</si>
  <si>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</si>
  <si>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</si>
  <si>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</si>
  <si>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</si>
  <si>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</si>
  <si>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</si>
  <si>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</si>
  <si>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</si>
  <si>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</si>
  <si>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</si>
  <si>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</si>
  <si>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</si>
  <si>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</si>
  <si>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</si>
  <si>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</si>
  <si>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</si>
  <si>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</si>
  <si>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</si>
  <si>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</si>
  <si>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</si>
  <si>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</si>
  <si>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</si>
  <si>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</si>
  <si>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</si>
  <si>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</si>
  <si>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</si>
  <si>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</si>
  <si>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</si>
  <si>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</si>
  <si>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</si>
  <si>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</si>
  <si>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</si>
  <si>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</si>
  <si>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</si>
  <si>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</si>
  <si>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</si>
  <si>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</si>
  <si>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</si>
  <si>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</si>
  <si>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</si>
  <si>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</si>
  <si>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</si>
  <si>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</si>
  <si>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</si>
  <si>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</si>
  <si>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</si>
  <si>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</si>
  <si>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</si>
  <si>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</si>
  <si>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</si>
  <si>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</si>
  <si>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</si>
  <si>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</si>
  <si>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</si>
  <si>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</si>
  <si>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</si>
  <si>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</si>
  <si>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</si>
  <si>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</si>
  <si>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</si>
  <si>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</si>
  <si>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</si>
  <si>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</si>
  <si>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</si>
  <si>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</si>
  <si>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</si>
  <si>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</si>
  <si>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</si>
  <si>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</si>
  <si>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</si>
  <si>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</si>
  <si>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</si>
  <si>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</si>
  <si>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</si>
  <si>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</si>
  <si>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</si>
  <si>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</si>
  <si>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</si>
  <si>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</si>
  <si>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</si>
  <si>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</si>
  <si>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</si>
  <si>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</si>
  <si>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</si>
  <si>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</si>
  <si>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</si>
  <si>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</si>
  <si>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</si>
  <si>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</si>
  <si>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</si>
  <si>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</si>
  <si>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</si>
  <si>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</si>
  <si>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</si>
  <si>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</si>
  <si>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</si>
  <si>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</si>
  <si>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</si>
  <si>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</si>
  <si>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</si>
  <si>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</si>
  <si>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</si>
  <si>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</si>
  <si>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</si>
  <si>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</si>
  <si>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</si>
  <si>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</si>
  <si>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</si>
  <si>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</si>
  <si>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</si>
  <si>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</si>
  <si>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</si>
  <si>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</si>
  <si>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</si>
  <si>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</si>
  <si>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</si>
  <si>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</si>
  <si>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</si>
  <si>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</si>
  <si>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</si>
  <si>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</si>
  <si>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</si>
  <si>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</si>
  <si>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</si>
  <si>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</si>
  <si>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</si>
  <si>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</si>
  <si>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</si>
  <si>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</si>
  <si>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</si>
  <si>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</si>
  <si>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</si>
  <si>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</si>
  <si>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</si>
  <si>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</si>
  <si>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</si>
  <si>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</si>
  <si>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</si>
  <si>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</si>
  <si>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</si>
  <si>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</si>
  <si>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</si>
  <si>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D,E</t>
  </si>
  <si>
    <t>85th Leg (GAA 18-19) Art IX, Sec 18.02, Contingency for HB7 (2018-19 GAA) - adjustments to CAP reflect additional FTEs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</si>
  <si>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</si>
  <si>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</si>
  <si>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</si>
  <si>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</si>
  <si>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</si>
  <si>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</si>
  <si>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</si>
  <si>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</si>
  <si>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</si>
  <si>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</si>
  <si>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</si>
  <si>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</si>
  <si>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</si>
  <si>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</si>
  <si>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</si>
  <si>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</si>
  <si>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</si>
  <si>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</si>
  <si>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</si>
  <si>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</si>
  <si>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</si>
  <si>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</si>
  <si>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</si>
  <si>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</si>
  <si>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</si>
  <si>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</si>
  <si>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</si>
  <si>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</si>
  <si>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</si>
  <si>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</si>
  <si>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</si>
  <si>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</si>
  <si>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</si>
  <si>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</si>
  <si>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</si>
  <si>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</si>
  <si>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</si>
  <si>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</si>
  <si>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</si>
  <si>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</si>
  <si>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</si>
  <si>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</si>
  <si>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</si>
  <si>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</si>
  <si>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</si>
  <si>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</si>
  <si>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</si>
  <si>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</si>
  <si>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</si>
  <si>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</si>
  <si>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</si>
  <si>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</si>
  <si>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</si>
  <si>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</si>
  <si>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</si>
  <si>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</si>
  <si>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</si>
  <si>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</si>
  <si>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</si>
  <si>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</si>
  <si>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</si>
  <si>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</si>
  <si>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</si>
  <si>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F,H,I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</si>
  <si>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</si>
  <si>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</si>
  <si>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</si>
  <si>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</si>
  <si>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</si>
  <si>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</si>
  <si>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</si>
  <si>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</si>
  <si>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</si>
  <si>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</si>
  <si>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</si>
  <si>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</si>
  <si>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</si>
  <si>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</si>
  <si>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>C,E,F,H,I,J,S</t>
  </si>
  <si>
    <t>E,F,H,S</t>
  </si>
  <si>
    <t>Disapproved(Amended)</t>
  </si>
  <si>
    <t xml:space="preserve">E.1.1 </t>
  </si>
  <si>
    <t>Q</t>
  </si>
  <si>
    <t>Art IX, Sec 14.03(i), Limitation on Expenditures - Capital Budget UB (2018-19 GAA)</t>
  </si>
  <si>
    <t>C,E,I</t>
  </si>
  <si>
    <t>C,E,J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</si>
  <si>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</si>
  <si>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</si>
  <si>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</si>
  <si>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</si>
  <si>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</si>
  <si>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</si>
  <si>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[DFPS-2019-A-0001]</t>
  </si>
  <si>
    <t xml:space="preserve">Realignment of General Revenue, Temporary Assistance for Needy Families, and Child Care Development Block Grant for Fiscal Years 2018 and 2019 </t>
  </si>
  <si>
    <t>[DFPS-2019-A-0002]</t>
  </si>
  <si>
    <t>Request authority to transfer funds from Fiscal Year 2018 to Fiscal Year 2019 for purchased client services</t>
  </si>
  <si>
    <t>Adjustment Type 01 Regular Appropriations Legal Cite MFR Art II (2018-19 GAA) 19100</t>
  </si>
  <si>
    <t>H, 1</t>
  </si>
  <si>
    <t>A,G,H</t>
  </si>
  <si>
    <t>FY 2019 Monthly Financial Report: Full-Time Equivalent (FTE) Cap and Filled Positions</t>
  </si>
  <si>
    <t>FY 2019 Monthly Financial Report:  Select Performance Measures</t>
  </si>
  <si>
    <t>FY 2019 Monthly Financial Report:  Approvals and Notifications</t>
  </si>
  <si>
    <t>FY 2019 Monthly Financial Report: Expense by Object of Expense</t>
  </si>
  <si>
    <t>FY 2019 Monthly Financial Report: Strategy Budget and Variance, Detailed MOF</t>
  </si>
  <si>
    <t>FY 2019 Monthly Financial Report: Strategy Projections by MOF</t>
  </si>
  <si>
    <t>FY 2019 Monthly Financial Report: Strategy Variance by MOF</t>
  </si>
  <si>
    <t>FY 2019 Monthly Financial Report: Capital Projects</t>
  </si>
  <si>
    <t>FY 2018 Monthly Financial Report: Strategy Budget and Variance, All Funds</t>
  </si>
  <si>
    <t>Y (Amended)</t>
  </si>
  <si>
    <t>Paid FTE data includes contract worfkforce FTEs</t>
  </si>
  <si>
    <t>1</t>
  </si>
  <si>
    <t>B,D,E,F,I,Q</t>
  </si>
  <si>
    <t>C,F,I</t>
  </si>
  <si>
    <t>E,P</t>
  </si>
  <si>
    <t>93.556.003</t>
  </si>
  <si>
    <t>Title IV-B, Part 2  Kinship Navigator</t>
  </si>
  <si>
    <t>IVB PT 2 - KINSHIP NAVIGATOR</t>
  </si>
  <si>
    <t>B.1.2/D.1.2</t>
  </si>
  <si>
    <t>V</t>
  </si>
  <si>
    <t>86th Legislature, Regular Session, Senate Bill 500</t>
  </si>
  <si>
    <t>E,V</t>
  </si>
  <si>
    <t>F,V</t>
  </si>
  <si>
    <t>E,J</t>
  </si>
  <si>
    <t>F,L,M,O,V</t>
  </si>
  <si>
    <t>M,N,V</t>
  </si>
  <si>
    <t>F,H,I,J,S</t>
  </si>
  <si>
    <t>F,H,I,S</t>
  </si>
  <si>
    <t xml:space="preserve">Request for Approval for CBC Expansion </t>
  </si>
  <si>
    <t>[DFPS-2019-A-0003]</t>
  </si>
  <si>
    <t>ESSA Preschool Development Grant</t>
  </si>
  <si>
    <t>93.434</t>
  </si>
  <si>
    <r>
      <t xml:space="preserve">Subtotal, Goal D: </t>
    </r>
    <r>
      <rPr>
        <b/>
        <i/>
        <sz val="12"/>
        <rFont val="Times New Roman"/>
        <family val="1"/>
      </rPr>
      <t xml:space="preserve"> Adult Protective Services </t>
    </r>
  </si>
  <si>
    <t>Art IX, Sec 14.01 (a), Appropriation Transfers (2018-19 GAA)</t>
  </si>
  <si>
    <t>A,C,E,F,G,H,I,J</t>
  </si>
  <si>
    <t>C,K</t>
  </si>
  <si>
    <t>F,H,S</t>
  </si>
  <si>
    <t>F,D,I,Q</t>
  </si>
  <si>
    <t>C,F,K</t>
  </si>
  <si>
    <t>D,F,I,Q</t>
  </si>
  <si>
    <t>D,F,I</t>
  </si>
  <si>
    <t>I,F</t>
  </si>
  <si>
    <t>A,E,F,G,I,J,K</t>
  </si>
  <si>
    <t>F,I,J,K</t>
  </si>
  <si>
    <t>A,E,F,G,H,I,J,K</t>
  </si>
  <si>
    <t>C,E,F,H,I,J,S,K</t>
  </si>
  <si>
    <t>Data Through August 31, 2019</t>
  </si>
  <si>
    <t xml:space="preserve">FY 2019 Projected </t>
  </si>
  <si>
    <t>as of 8/31/19</t>
  </si>
  <si>
    <t>Data Through August 2019</t>
  </si>
  <si>
    <t>A,1</t>
  </si>
  <si>
    <t>5.  Decrease of 61.0 FTEs for Rider 33 partial reduction Catchment Areas 2 and 8A stage I</t>
  </si>
  <si>
    <t>YTD Expense as of 8/31/19</t>
  </si>
  <si>
    <t>C,E,F,V</t>
  </si>
  <si>
    <t>F,J</t>
  </si>
  <si>
    <t>Actual Expenditures through August 2019, Projections after August 2019</t>
  </si>
  <si>
    <t>FTE Paid # After August 2019 based on Budgeted FTE CAP</t>
  </si>
  <si>
    <t>Post 2019 (Proj)</t>
  </si>
  <si>
    <t>Request for Approval for FY20 CBC Blended Rates and Reconciliation</t>
  </si>
  <si>
    <t>[DFPS-2020-A-001]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</si>
</sst>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  <numFmt numFmtId="173" formatCode="_(* #,##0.0_);_(* \(#,##0.0\);_(* &quot;-&quot;?_);_(@_)"/>
    <numFmt numFmtId="174" formatCode="#,##0.0"/>
  </numFmts>
  <fonts count="130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Garamond"/>
      <family val="1"/>
    </font>
    <font>
      <sz val="10"/>
      <name val="Garamond"/>
      <family val="1"/>
    </font>
    <font>
      <i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51011">
    <xf numFmtId="0" fontId="0" fillId="0" borderId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6" fillId="0" borderId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8" fillId="0" borderId="1">
      <alignment horizontal="center"/>
    </xf>
    <xf numFmtId="3" fontId="57" fillId="0" borderId="0" applyFont="0" applyFill="0" applyBorder="0" applyAlignment="0" applyProtection="0"/>
    <xf numFmtId="0" fontId="57" fillId="2" borderId="0" applyNumberFormat="0" applyFont="0" applyBorder="0" applyAlignment="0" applyProtection="0"/>
    <xf numFmtId="0" fontId="60" fillId="0" borderId="0"/>
    <xf numFmtId="0" fontId="60" fillId="0" borderId="0"/>
    <xf numFmtId="0" fontId="52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51" fillId="0" borderId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2" fillId="0" borderId="0"/>
    <xf numFmtId="0" fontId="51" fillId="0" borderId="0"/>
    <xf numFmtId="0" fontId="51" fillId="0" borderId="0"/>
    <xf numFmtId="0" fontId="52" fillId="0" borderId="0"/>
    <xf numFmtId="9" fontId="52" fillId="0" borderId="0" applyFont="0" applyFill="0" applyBorder="0" applyAlignment="0" applyProtection="0"/>
    <xf numFmtId="0" fontId="51" fillId="0" borderId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8" fillId="24" borderId="15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0" fontId="69" fillId="25" borderId="16" applyNumberFormat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77" fillId="11" borderId="15" applyNumberFormat="0" applyAlignment="0" applyProtection="0"/>
    <xf numFmtId="0" fontId="53" fillId="3" borderId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1" fillId="0" borderId="0"/>
    <xf numFmtId="0" fontId="52" fillId="0" borderId="0"/>
    <xf numFmtId="0" fontId="80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64" fillId="27" borderId="21" applyNumberFormat="0" applyFon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0" fontId="81" fillId="24" borderId="22" applyNumberFormat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8" fillId="0" borderId="1">
      <alignment horizontal="center"/>
    </xf>
    <xf numFmtId="0" fontId="58" fillId="0" borderId="1">
      <alignment horizontal="center"/>
    </xf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7" fillId="2" borderId="0" applyNumberFormat="0" applyFont="0" applyBorder="0" applyAlignment="0" applyProtection="0"/>
    <xf numFmtId="0" fontId="57" fillId="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/>
    <xf numFmtId="44" fontId="5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0" borderId="0"/>
    <xf numFmtId="0" fontId="50" fillId="0" borderId="0"/>
    <xf numFmtId="0" fontId="49" fillId="0" borderId="0"/>
    <xf numFmtId="0" fontId="48" fillId="0" borderId="0"/>
    <xf numFmtId="0" fontId="85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86" fillId="0" borderId="0"/>
    <xf numFmtId="0" fontId="87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39" fillId="0" borderId="0"/>
    <xf numFmtId="0" fontId="39" fillId="0" borderId="0"/>
    <xf numFmtId="0" fontId="52" fillId="0" borderId="0"/>
    <xf numFmtId="9" fontId="52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61" fillId="0" borderId="0"/>
    <xf numFmtId="0" fontId="61" fillId="0" borderId="0"/>
    <xf numFmtId="0" fontId="39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7" fillId="0" borderId="0"/>
    <xf numFmtId="0" fontId="36" fillId="0" borderId="0"/>
    <xf numFmtId="43" fontId="61" fillId="0" borderId="0" applyFont="0" applyFill="0" applyBorder="0" applyAlignment="0" applyProtection="0"/>
    <xf numFmtId="0" fontId="35" fillId="0" borderId="0"/>
    <xf numFmtId="0" fontId="52" fillId="0" borderId="0"/>
    <xf numFmtId="0" fontId="34" fillId="0" borderId="0"/>
    <xf numFmtId="0" fontId="121" fillId="0" borderId="0"/>
    <xf numFmtId="9" fontId="12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22" fillId="0" borderId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27" fillId="0" borderId="0"/>
    <xf numFmtId="0" fontId="14" fillId="0" borderId="0"/>
    <xf numFmtId="43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28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676">
    <xf numFmtId="0" fontId="0" fillId="0" borderId="0" xfId="0"/>
    <xf numFmtId="0" fontId="59" fillId="0" borderId="0" xfId="0" applyFont="1" applyFill="1"/>
    <xf numFmtId="0" fontId="55" fillId="0" borderId="0" xfId="0" applyFont="1" applyFill="1" applyAlignment="1">
      <alignment horizontal="center"/>
    </xf>
    <xf numFmtId="0" fontId="52" fillId="0" borderId="0" xfId="0" applyFont="1"/>
    <xf numFmtId="0" fontId="89" fillId="0" borderId="0" xfId="0" applyFont="1" applyFill="1"/>
    <xf numFmtId="0" fontId="52" fillId="0" borderId="0" xfId="0" applyFont="1" applyFill="1"/>
    <xf numFmtId="3" fontId="52" fillId="0" borderId="0" xfId="0" applyNumberFormat="1" applyFont="1" applyFill="1"/>
    <xf numFmtId="0" fontId="59" fillId="0" borderId="0" xfId="0" applyFont="1"/>
    <xf numFmtId="0" fontId="90" fillId="0" borderId="0" xfId="3" applyFont="1" applyFill="1" applyAlignment="1">
      <alignment horizontal="center"/>
    </xf>
    <xf numFmtId="0" fontId="59" fillId="0" borderId="0" xfId="3" applyFont="1" applyFill="1"/>
    <xf numFmtId="0" fontId="89" fillId="0" borderId="0" xfId="3" applyFont="1" applyFill="1"/>
    <xf numFmtId="0" fontId="92" fillId="0" borderId="0" xfId="3" applyFont="1" applyFill="1"/>
    <xf numFmtId="49" fontId="92" fillId="0" borderId="0" xfId="3" applyNumberFormat="1" applyFont="1" applyFill="1" applyAlignment="1">
      <alignment horizontal="left" indent="1"/>
    </xf>
    <xf numFmtId="3" fontId="59" fillId="0" borderId="0" xfId="0" applyNumberFormat="1" applyFont="1" applyFill="1" applyAlignment="1"/>
    <xf numFmtId="3" fontId="59" fillId="0" borderId="0" xfId="0" applyNumberFormat="1" applyFont="1" applyFill="1"/>
    <xf numFmtId="0" fontId="94" fillId="0" borderId="0" xfId="0" applyFont="1" applyFill="1"/>
    <xf numFmtId="3" fontId="94" fillId="0" borderId="0" xfId="0" applyNumberFormat="1" applyFont="1" applyFill="1"/>
    <xf numFmtId="0" fontId="94" fillId="0" borderId="0" xfId="0" applyFont="1"/>
    <xf numFmtId="0" fontId="94" fillId="0" borderId="0" xfId="0" applyFont="1" applyFill="1" applyBorder="1"/>
    <xf numFmtId="0" fontId="93" fillId="5" borderId="25" xfId="3" applyFont="1" applyFill="1" applyBorder="1"/>
    <xf numFmtId="0" fontId="93" fillId="5" borderId="26" xfId="3" applyFont="1" applyFill="1" applyBorder="1" applyAlignment="1">
      <alignment horizontal="center" wrapText="1"/>
    </xf>
    <xf numFmtId="0" fontId="93" fillId="5" borderId="27" xfId="3" applyFont="1" applyFill="1" applyBorder="1" applyAlignment="1">
      <alignment horizontal="center"/>
    </xf>
    <xf numFmtId="38" fontId="94" fillId="0" borderId="29" xfId="1" applyNumberFormat="1" applyFont="1" applyBorder="1" applyAlignment="1">
      <alignment horizontal="right"/>
    </xf>
    <xf numFmtId="38" fontId="94" fillId="0" borderId="29" xfId="0" applyNumberFormat="1" applyFont="1" applyBorder="1"/>
    <xf numFmtId="0" fontId="94" fillId="0" borderId="31" xfId="0" applyFont="1" applyBorder="1"/>
    <xf numFmtId="0" fontId="93" fillId="5" borderId="29" xfId="3" applyFont="1" applyFill="1" applyBorder="1" applyAlignment="1">
      <alignment horizontal="center"/>
    </xf>
    <xf numFmtId="38" fontId="94" fillId="0" borderId="34" xfId="0" applyNumberFormat="1" applyFont="1" applyBorder="1"/>
    <xf numFmtId="0" fontId="94" fillId="0" borderId="0" xfId="3" applyFont="1" applyFill="1" applyAlignment="1">
      <alignment wrapText="1"/>
    </xf>
    <xf numFmtId="0" fontId="94" fillId="0" borderId="0" xfId="3" applyFont="1" applyFill="1"/>
    <xf numFmtId="43" fontId="97" fillId="0" borderId="0" xfId="1" applyFont="1" applyFill="1"/>
    <xf numFmtId="0" fontId="93" fillId="0" borderId="0" xfId="3" applyFont="1" applyFill="1"/>
    <xf numFmtId="0" fontId="93" fillId="0" borderId="0" xfId="3" applyFont="1" applyFill="1" applyBorder="1"/>
    <xf numFmtId="165" fontId="98" fillId="0" borderId="0" xfId="1" applyNumberFormat="1" applyFont="1" applyFill="1"/>
    <xf numFmtId="0" fontId="95" fillId="0" borderId="0" xfId="3" applyFont="1" applyFill="1"/>
    <xf numFmtId="0" fontId="96" fillId="0" borderId="0" xfId="3" applyFont="1" applyFill="1"/>
    <xf numFmtId="49" fontId="96" fillId="0" borderId="0" xfId="3" applyNumberFormat="1" applyFont="1" applyFill="1" applyAlignment="1">
      <alignment horizontal="left" wrapText="1"/>
    </xf>
    <xf numFmtId="49" fontId="94" fillId="0" borderId="0" xfId="3" applyNumberFormat="1" applyFont="1" applyFill="1" applyAlignment="1">
      <alignment horizontal="left" indent="1"/>
    </xf>
    <xf numFmtId="49" fontId="94" fillId="0" borderId="0" xfId="3" applyNumberFormat="1" applyFont="1" applyFill="1"/>
    <xf numFmtId="165" fontId="94" fillId="0" borderId="0" xfId="3" applyNumberFormat="1" applyFont="1" applyFill="1"/>
    <xf numFmtId="0" fontId="94" fillId="0" borderId="0" xfId="0" applyFont="1" applyFill="1" applyAlignment="1">
      <alignment horizontal="center"/>
    </xf>
    <xf numFmtId="3" fontId="94" fillId="0" borderId="0" xfId="0" applyNumberFormat="1" applyFont="1" applyFill="1" applyAlignment="1"/>
    <xf numFmtId="0" fontId="93" fillId="0" borderId="0" xfId="0" applyFont="1" applyFill="1" applyAlignment="1">
      <alignment horizontal="center"/>
    </xf>
    <xf numFmtId="0" fontId="96" fillId="0" borderId="0" xfId="0" applyFont="1"/>
    <xf numFmtId="0" fontId="91" fillId="0" borderId="0" xfId="3" applyFont="1" applyFill="1" applyAlignment="1">
      <alignment horizontal="centerContinuous"/>
    </xf>
    <xf numFmtId="165" fontId="99" fillId="0" borderId="0" xfId="1" applyNumberFormat="1" applyFont="1" applyFill="1" applyAlignment="1">
      <alignment horizontal="center"/>
    </xf>
    <xf numFmtId="0" fontId="99" fillId="0" borderId="0" xfId="3" applyFont="1" applyFill="1" applyAlignment="1">
      <alignment horizontal="center"/>
    </xf>
    <xf numFmtId="0" fontId="100" fillId="0" borderId="0" xfId="3" applyFont="1" applyFill="1"/>
    <xf numFmtId="0" fontId="55" fillId="0" borderId="0" xfId="3" applyFont="1" applyFill="1" applyAlignment="1">
      <alignment horizontal="centerContinuous"/>
    </xf>
    <xf numFmtId="165" fontId="101" fillId="0" borderId="0" xfId="1" applyNumberFormat="1" applyFont="1" applyFill="1" applyAlignment="1">
      <alignment horizontal="center"/>
    </xf>
    <xf numFmtId="0" fontId="101" fillId="0" borderId="0" xfId="3" applyFont="1" applyFill="1" applyAlignment="1">
      <alignment horizontal="center"/>
    </xf>
    <xf numFmtId="0" fontId="88" fillId="0" borderId="0" xfId="3" applyFont="1" applyFill="1"/>
    <xf numFmtId="0" fontId="96" fillId="0" borderId="30" xfId="0" applyFont="1" applyBorder="1"/>
    <xf numFmtId="0" fontId="96" fillId="0" borderId="3" xfId="0" applyFont="1" applyBorder="1"/>
    <xf numFmtId="0" fontId="96" fillId="0" borderId="28" xfId="0" applyFont="1" applyBorder="1"/>
    <xf numFmtId="0" fontId="96" fillId="0" borderId="0" xfId="0" applyFont="1" applyBorder="1"/>
    <xf numFmtId="0" fontId="95" fillId="5" borderId="28" xfId="3" applyFont="1" applyFill="1" applyBorder="1"/>
    <xf numFmtId="0" fontId="95" fillId="5" borderId="3" xfId="3" applyFont="1" applyFill="1" applyBorder="1" applyAlignment="1">
      <alignment horizontal="center" wrapText="1"/>
    </xf>
    <xf numFmtId="0" fontId="96" fillId="0" borderId="32" xfId="0" applyFont="1" applyBorder="1"/>
    <xf numFmtId="0" fontId="96" fillId="0" borderId="33" xfId="0" applyFont="1" applyBorder="1"/>
    <xf numFmtId="49" fontId="96" fillId="0" borderId="0" xfId="3" applyNumberFormat="1" applyFont="1" applyFill="1"/>
    <xf numFmtId="0" fontId="96" fillId="0" borderId="0" xfId="0" applyFont="1" applyFill="1"/>
    <xf numFmtId="5" fontId="94" fillId="0" borderId="0" xfId="0" applyNumberFormat="1" applyFont="1" applyFill="1" applyBorder="1" applyAlignment="1">
      <alignment vertical="center"/>
    </xf>
    <xf numFmtId="37" fontId="94" fillId="0" borderId="0" xfId="0" applyNumberFormat="1" applyFont="1" applyFill="1" applyBorder="1" applyAlignment="1">
      <alignment vertical="center"/>
    </xf>
    <xf numFmtId="0" fontId="89" fillId="0" borderId="0" xfId="0" applyFont="1" applyFill="1" applyAlignment="1">
      <alignment vertical="center"/>
    </xf>
    <xf numFmtId="43" fontId="59" fillId="0" borderId="0" xfId="1" applyFont="1" applyFill="1" applyAlignment="1">
      <alignment vertical="center"/>
    </xf>
    <xf numFmtId="0" fontId="59" fillId="0" borderId="0" xfId="0" applyFont="1" applyFill="1" applyAlignment="1">
      <alignment vertical="center"/>
    </xf>
    <xf numFmtId="43" fontId="52" fillId="0" borderId="0" xfId="1" applyFont="1" applyFill="1" applyAlignment="1">
      <alignment vertical="center"/>
    </xf>
    <xf numFmtId="0" fontId="52" fillId="0" borderId="0" xfId="0" applyFont="1" applyFill="1" applyAlignment="1">
      <alignment vertical="center"/>
    </xf>
    <xf numFmtId="43" fontId="94" fillId="0" borderId="0" xfId="1" applyFont="1" applyFill="1" applyAlignment="1">
      <alignment vertical="center"/>
    </xf>
    <xf numFmtId="0" fontId="94" fillId="0" borderId="0" xfId="0" applyFont="1" applyFill="1" applyAlignment="1">
      <alignment vertical="center"/>
    </xf>
    <xf numFmtId="5" fontId="103" fillId="0" borderId="0" xfId="0" applyNumberFormat="1" applyFont="1" applyFill="1" applyBorder="1" applyAlignment="1">
      <alignment vertical="center"/>
    </xf>
    <xf numFmtId="164" fontId="94" fillId="0" borderId="0" xfId="0" applyNumberFormat="1" applyFont="1" applyFill="1" applyBorder="1" applyAlignment="1">
      <alignment vertical="center"/>
    </xf>
    <xf numFmtId="37" fontId="103" fillId="0" borderId="0" xfId="0" applyNumberFormat="1" applyFont="1" applyFill="1" applyBorder="1" applyAlignment="1">
      <alignment vertical="center"/>
    </xf>
    <xf numFmtId="164" fontId="103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3" fontId="94" fillId="0" borderId="0" xfId="0" applyNumberFormat="1" applyFont="1" applyFill="1" applyBorder="1" applyAlignment="1">
      <alignment vertical="center"/>
    </xf>
    <xf numFmtId="3" fontId="94" fillId="0" borderId="0" xfId="0" applyNumberFormat="1" applyFont="1" applyFill="1" applyAlignment="1">
      <alignment vertical="center"/>
    </xf>
    <xf numFmtId="3" fontId="94" fillId="0" borderId="0" xfId="0" applyNumberFormat="1" applyFont="1" applyFill="1" applyAlignment="1">
      <alignment horizontal="left" vertical="center"/>
    </xf>
    <xf numFmtId="3" fontId="52" fillId="0" borderId="0" xfId="0" applyNumberFormat="1" applyFont="1" applyFill="1" applyAlignment="1">
      <alignment vertical="center"/>
    </xf>
    <xf numFmtId="3" fontId="52" fillId="0" borderId="0" xfId="0" applyNumberFormat="1" applyFont="1" applyFill="1" applyAlignment="1">
      <alignment horizontal="left" vertical="center"/>
    </xf>
    <xf numFmtId="0" fontId="102" fillId="4" borderId="14" xfId="0" applyFont="1" applyFill="1" applyBorder="1" applyAlignment="1">
      <alignment vertical="center"/>
    </xf>
    <xf numFmtId="0" fontId="94" fillId="0" borderId="0" xfId="0" applyFont="1" applyFill="1" applyAlignment="1">
      <alignment horizontal="left" vertical="center"/>
    </xf>
    <xf numFmtId="164" fontId="93" fillId="0" borderId="0" xfId="0" applyNumberFormat="1" applyFont="1" applyFill="1" applyAlignment="1">
      <alignment horizontal="left" vertical="center"/>
    </xf>
    <xf numFmtId="0" fontId="106" fillId="0" borderId="2" xfId="12" applyFont="1" applyFill="1" applyBorder="1"/>
    <xf numFmtId="164" fontId="104" fillId="0" borderId="5" xfId="12" applyNumberFormat="1" applyFont="1" applyFill="1" applyBorder="1" applyAlignment="1">
      <alignment horizontal="left" indent="3"/>
    </xf>
    <xf numFmtId="0" fontId="104" fillId="0" borderId="5" xfId="12" applyFont="1" applyFill="1" applyBorder="1"/>
    <xf numFmtId="0" fontId="106" fillId="0" borderId="9" xfId="12" applyFont="1" applyFill="1" applyBorder="1"/>
    <xf numFmtId="164" fontId="104" fillId="0" borderId="13" xfId="12" applyNumberFormat="1" applyFont="1" applyFill="1" applyBorder="1"/>
    <xf numFmtId="164" fontId="104" fillId="0" borderId="5" xfId="12" applyNumberFormat="1" applyFont="1" applyFill="1" applyBorder="1"/>
    <xf numFmtId="0" fontId="106" fillId="0" borderId="0" xfId="12" applyFont="1" applyFill="1"/>
    <xf numFmtId="167" fontId="106" fillId="0" borderId="0" xfId="13" applyNumberFormat="1" applyFont="1" applyFill="1"/>
    <xf numFmtId="3" fontId="108" fillId="0" borderId="0" xfId="0" applyNumberFormat="1" applyFont="1" applyFill="1"/>
    <xf numFmtId="41" fontId="106" fillId="0" borderId="0" xfId="4300" applyNumberFormat="1" applyFont="1"/>
    <xf numFmtId="41" fontId="106" fillId="0" borderId="0" xfId="50939" applyNumberFormat="1" applyFont="1" applyAlignment="1"/>
    <xf numFmtId="41" fontId="104" fillId="0" borderId="0" xfId="50939" applyNumberFormat="1" applyFont="1" applyFill="1" applyBorder="1" applyAlignment="1"/>
    <xf numFmtId="41" fontId="104" fillId="0" borderId="0" xfId="50939" applyNumberFormat="1" applyFont="1" applyBorder="1" applyAlignment="1"/>
    <xf numFmtId="41" fontId="104" fillId="0" borderId="13" xfId="50939" applyNumberFormat="1" applyFont="1" applyBorder="1" applyAlignment="1"/>
    <xf numFmtId="41" fontId="106" fillId="0" borderId="0" xfId="4300" applyNumberFormat="1" applyFont="1" applyFill="1" applyAlignment="1">
      <alignment horizontal="left"/>
    </xf>
    <xf numFmtId="165" fontId="106" fillId="0" borderId="0" xfId="1" applyNumberFormat="1" applyFont="1" applyAlignment="1"/>
    <xf numFmtId="0" fontId="106" fillId="0" borderId="0" xfId="50939" applyFont="1" applyAlignment="1"/>
    <xf numFmtId="169" fontId="106" fillId="0" borderId="0" xfId="50939" applyNumberFormat="1" applyFont="1" applyAlignment="1"/>
    <xf numFmtId="41" fontId="106" fillId="0" borderId="0" xfId="16" applyNumberFormat="1" applyFont="1"/>
    <xf numFmtId="41" fontId="106" fillId="0" borderId="0" xfId="16" quotePrefix="1" applyNumberFormat="1" applyFont="1" applyAlignment="1">
      <alignment horizontal="center"/>
    </xf>
    <xf numFmtId="0" fontId="106" fillId="0" borderId="0" xfId="50939" applyFont="1" applyAlignment="1">
      <alignment horizontal="left"/>
    </xf>
    <xf numFmtId="165" fontId="106" fillId="0" borderId="0" xfId="2234" applyNumberFormat="1" applyFont="1" applyAlignment="1"/>
    <xf numFmtId="0" fontId="106" fillId="0" borderId="0" xfId="4300" applyFont="1" applyBorder="1"/>
    <xf numFmtId="38" fontId="106" fillId="0" borderId="0" xfId="50939" applyNumberFormat="1" applyFont="1" applyAlignment="1"/>
    <xf numFmtId="41" fontId="106" fillId="0" borderId="0" xfId="16" applyNumberFormat="1" applyFont="1" applyAlignment="1"/>
    <xf numFmtId="0" fontId="104" fillId="0" borderId="0" xfId="50939" applyFont="1" applyAlignment="1"/>
    <xf numFmtId="0" fontId="106" fillId="0" borderId="0" xfId="4300" applyFont="1"/>
    <xf numFmtId="8" fontId="106" fillId="0" borderId="0" xfId="4300" applyNumberFormat="1" applyFont="1"/>
    <xf numFmtId="0" fontId="106" fillId="0" borderId="0" xfId="50939" applyFont="1" applyFill="1" applyAlignment="1"/>
    <xf numFmtId="165" fontId="106" fillId="0" borderId="0" xfId="1" applyNumberFormat="1" applyFont="1" applyFill="1" applyAlignment="1"/>
    <xf numFmtId="165" fontId="106" fillId="0" borderId="0" xfId="2234" applyNumberFormat="1" applyFont="1" applyFill="1" applyAlignment="1"/>
    <xf numFmtId="166" fontId="94" fillId="0" borderId="0" xfId="3" applyNumberFormat="1" applyFont="1" applyFill="1"/>
    <xf numFmtId="43" fontId="110" fillId="0" borderId="0" xfId="1" applyFont="1" applyFill="1" applyAlignment="1">
      <alignment horizontal="center" vertical="center"/>
    </xf>
    <xf numFmtId="43" fontId="106" fillId="0" borderId="0" xfId="1" applyFont="1" applyFill="1" applyAlignment="1">
      <alignment vertical="center"/>
    </xf>
    <xf numFmtId="0" fontId="104" fillId="3" borderId="12" xfId="0" applyFont="1" applyFill="1" applyBorder="1" applyAlignment="1">
      <alignment vertical="center"/>
    </xf>
    <xf numFmtId="0" fontId="104" fillId="3" borderId="35" xfId="0" applyFont="1" applyFill="1" applyBorder="1" applyAlignment="1">
      <alignment horizontal="center" vertical="center"/>
    </xf>
    <xf numFmtId="3" fontId="104" fillId="3" borderId="3" xfId="0" applyNumberFormat="1" applyFont="1" applyFill="1" applyBorder="1" applyAlignment="1">
      <alignment horizontal="center" vertical="center" wrapText="1"/>
    </xf>
    <xf numFmtId="3" fontId="104" fillId="3" borderId="3" xfId="0" applyNumberFormat="1" applyFont="1" applyFill="1" applyBorder="1" applyAlignment="1">
      <alignment horizontal="center" vertical="center"/>
    </xf>
    <xf numFmtId="5" fontId="107" fillId="0" borderId="0" xfId="10" applyNumberFormat="1" applyFont="1" applyFill="1" applyBorder="1" applyAlignment="1">
      <alignment horizontal="left" vertical="center"/>
    </xf>
    <xf numFmtId="5" fontId="107" fillId="0" borderId="0" xfId="10" applyNumberFormat="1" applyFont="1" applyFill="1" applyBorder="1" applyAlignment="1">
      <alignment vertical="center"/>
    </xf>
    <xf numFmtId="42" fontId="106" fillId="0" borderId="0" xfId="1" applyNumberFormat="1" applyFont="1" applyFill="1" applyBorder="1" applyAlignment="1">
      <alignment horizontal="left" vertical="center"/>
    </xf>
    <xf numFmtId="42" fontId="106" fillId="0" borderId="0" xfId="1" applyNumberFormat="1" applyFont="1" applyFill="1" applyBorder="1" applyAlignment="1">
      <alignment horizontal="center" vertical="center"/>
    </xf>
    <xf numFmtId="42" fontId="106" fillId="0" borderId="0" xfId="1" applyNumberFormat="1" applyFont="1" applyBorder="1" applyAlignment="1">
      <alignment horizontal="center" vertical="center"/>
    </xf>
    <xf numFmtId="165" fontId="106" fillId="0" borderId="0" xfId="1" applyNumberFormat="1" applyFont="1" applyFill="1" applyBorder="1" applyAlignment="1">
      <alignment vertical="center"/>
    </xf>
    <xf numFmtId="164" fontId="104" fillId="0" borderId="5" xfId="10" applyNumberFormat="1" applyFont="1" applyFill="1" applyBorder="1" applyAlignment="1">
      <alignment horizontal="left" vertical="center"/>
    </xf>
    <xf numFmtId="0" fontId="106" fillId="0" borderId="10" xfId="10" applyFont="1" applyBorder="1" applyAlignment="1">
      <alignment horizontal="center" vertical="center"/>
    </xf>
    <xf numFmtId="42" fontId="104" fillId="0" borderId="3" xfId="1" applyNumberFormat="1" applyFont="1" applyFill="1" applyBorder="1" applyAlignment="1">
      <alignment horizontal="left" vertical="center"/>
    </xf>
    <xf numFmtId="42" fontId="104" fillId="0" borderId="3" xfId="1" applyNumberFormat="1" applyFont="1" applyFill="1" applyBorder="1" applyAlignment="1">
      <alignment horizontal="center" vertical="center"/>
    </xf>
    <xf numFmtId="37" fontId="107" fillId="0" borderId="0" xfId="10" applyNumberFormat="1" applyFont="1" applyFill="1" applyBorder="1" applyAlignment="1">
      <alignment horizontal="left" vertical="center"/>
    </xf>
    <xf numFmtId="0" fontId="107" fillId="0" borderId="0" xfId="10" applyFont="1" applyFill="1" applyBorder="1" applyAlignment="1">
      <alignment vertical="center"/>
    </xf>
    <xf numFmtId="37" fontId="104" fillId="0" borderId="5" xfId="10" applyNumberFormat="1" applyFont="1" applyFill="1" applyBorder="1" applyAlignment="1">
      <alignment horizontal="left" vertical="center"/>
    </xf>
    <xf numFmtId="37" fontId="107" fillId="0" borderId="0" xfId="10" applyNumberFormat="1" applyFont="1" applyFill="1" applyBorder="1" applyAlignment="1">
      <alignment vertical="center"/>
    </xf>
    <xf numFmtId="0" fontId="107" fillId="0" borderId="0" xfId="10" applyFont="1" applyFill="1" applyBorder="1" applyAlignment="1">
      <alignment horizontal="left" vertical="center"/>
    </xf>
    <xf numFmtId="164" fontId="104" fillId="0" borderId="0" xfId="10" applyNumberFormat="1" applyFont="1" applyFill="1" applyBorder="1" applyAlignment="1">
      <alignment horizontal="left" vertical="center"/>
    </xf>
    <xf numFmtId="0" fontId="106" fillId="0" borderId="0" xfId="10" applyFont="1" applyBorder="1" applyAlignment="1">
      <alignment horizontal="center" vertical="center"/>
    </xf>
    <xf numFmtId="42" fontId="104" fillId="0" borderId="0" xfId="1" applyNumberFormat="1" applyFont="1" applyFill="1" applyBorder="1" applyAlignment="1">
      <alignment horizontal="left" vertical="center"/>
    </xf>
    <xf numFmtId="42" fontId="104" fillId="0" borderId="0" xfId="1" applyNumberFormat="1" applyFont="1" applyFill="1" applyBorder="1" applyAlignment="1">
      <alignment horizontal="center" vertical="center"/>
    </xf>
    <xf numFmtId="164" fontId="104" fillId="0" borderId="36" xfId="10" applyNumberFormat="1" applyFont="1" applyFill="1" applyBorder="1" applyAlignment="1">
      <alignment horizontal="left" vertical="center"/>
    </xf>
    <xf numFmtId="164" fontId="106" fillId="0" borderId="37" xfId="10" applyNumberFormat="1" applyFont="1" applyFill="1" applyBorder="1" applyAlignment="1">
      <alignment vertical="center"/>
    </xf>
    <xf numFmtId="42" fontId="104" fillId="0" borderId="39" xfId="1" applyNumberFormat="1" applyFont="1" applyFill="1" applyBorder="1" applyAlignment="1">
      <alignment horizontal="left" vertical="center"/>
    </xf>
    <xf numFmtId="0" fontId="109" fillId="0" borderId="0" xfId="10" applyFont="1" applyFill="1" applyBorder="1" applyAlignment="1">
      <alignment horizontal="left" vertical="center"/>
    </xf>
    <xf numFmtId="0" fontId="111" fillId="0" borderId="0" xfId="10" applyFont="1" applyFill="1" applyBorder="1" applyAlignment="1">
      <alignment horizontal="left" vertical="center"/>
    </xf>
    <xf numFmtId="164" fontId="107" fillId="0" borderId="0" xfId="10" applyNumberFormat="1" applyFont="1" applyFill="1" applyBorder="1" applyAlignment="1">
      <alignment horizontal="left" vertical="center"/>
    </xf>
    <xf numFmtId="164" fontId="107" fillId="0" borderId="0" xfId="10" applyNumberFormat="1" applyFont="1" applyFill="1" applyBorder="1" applyAlignment="1">
      <alignment horizontal="center" vertical="center"/>
    </xf>
    <xf numFmtId="164" fontId="106" fillId="0" borderId="13" xfId="1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horizontal="left" vertical="center"/>
    </xf>
    <xf numFmtId="43" fontId="59" fillId="0" borderId="0" xfId="1" applyFont="1" applyFill="1" applyBorder="1" applyAlignment="1">
      <alignment vertical="center"/>
    </xf>
    <xf numFmtId="3" fontId="59" fillId="0" borderId="0" xfId="0" applyNumberFormat="1" applyFont="1" applyFill="1" applyAlignment="1">
      <alignment vertical="center"/>
    </xf>
    <xf numFmtId="3" fontId="59" fillId="0" borderId="0" xfId="0" applyNumberFormat="1" applyFont="1" applyFill="1" applyAlignment="1">
      <alignment horizontal="left" vertical="center"/>
    </xf>
    <xf numFmtId="0" fontId="104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3" fontId="106" fillId="0" borderId="0" xfId="0" applyNumberFormat="1" applyFont="1" applyFill="1" applyAlignment="1">
      <alignment vertical="center"/>
    </xf>
    <xf numFmtId="3" fontId="106" fillId="0" borderId="0" xfId="0" applyNumberFormat="1" applyFont="1" applyFill="1" applyAlignment="1">
      <alignment horizontal="left" vertical="center"/>
    </xf>
    <xf numFmtId="0" fontId="106" fillId="0" borderId="0" xfId="0" applyFont="1" applyFill="1" applyAlignment="1">
      <alignment vertical="top" wrapText="1"/>
    </xf>
    <xf numFmtId="0" fontId="109" fillId="0" borderId="0" xfId="0" applyFont="1" applyFill="1" applyBorder="1" applyAlignment="1">
      <alignment horizontal="centerContinuous"/>
    </xf>
    <xf numFmtId="0" fontId="104" fillId="0" borderId="0" xfId="0" applyFont="1" applyFill="1" applyBorder="1" applyAlignment="1">
      <alignment horizontal="centerContinuous"/>
    </xf>
    <xf numFmtId="0" fontId="106" fillId="0" borderId="0" xfId="0" applyFont="1" applyFill="1"/>
    <xf numFmtId="0" fontId="104" fillId="0" borderId="0" xfId="0" applyFont="1" applyFill="1" applyAlignment="1">
      <alignment horizontal="center"/>
    </xf>
    <xf numFmtId="3" fontId="106" fillId="0" borderId="0" xfId="0" applyNumberFormat="1" applyFont="1" applyFill="1" applyAlignment="1"/>
    <xf numFmtId="3" fontId="106" fillId="0" borderId="0" xfId="0" applyNumberFormat="1" applyFont="1" applyFill="1"/>
    <xf numFmtId="0" fontId="104" fillId="3" borderId="9" xfId="0" applyFont="1" applyFill="1" applyBorder="1"/>
    <xf numFmtId="3" fontId="104" fillId="3" borderId="9" xfId="0" applyNumberFormat="1" applyFont="1" applyFill="1" applyBorder="1" applyAlignment="1">
      <alignment horizontal="center"/>
    </xf>
    <xf numFmtId="3" fontId="104" fillId="5" borderId="7" xfId="0" applyNumberFormat="1" applyFont="1" applyFill="1" applyBorder="1" applyAlignment="1">
      <alignment horizontal="center"/>
    </xf>
    <xf numFmtId="3" fontId="104" fillId="3" borderId="7" xfId="0" applyNumberFormat="1" applyFont="1" applyFill="1" applyBorder="1" applyAlignment="1">
      <alignment horizontal="center"/>
    </xf>
    <xf numFmtId="0" fontId="104" fillId="3" borderId="12" xfId="11" applyFont="1" applyFill="1" applyBorder="1" applyAlignment="1">
      <alignment horizontal="center"/>
    </xf>
    <xf numFmtId="3" fontId="104" fillId="3" borderId="12" xfId="11" applyNumberFormat="1" applyFont="1" applyFill="1" applyBorder="1" applyAlignment="1">
      <alignment horizontal="center"/>
    </xf>
    <xf numFmtId="3" fontId="104" fillId="3" borderId="24" xfId="11" applyNumberFormat="1" applyFont="1" applyFill="1" applyBorder="1" applyAlignment="1">
      <alignment horizontal="center"/>
    </xf>
    <xf numFmtId="3" fontId="104" fillId="5" borderId="24" xfId="11" applyNumberFormat="1" applyFont="1" applyFill="1" applyBorder="1" applyAlignment="1">
      <alignment horizontal="center"/>
    </xf>
    <xf numFmtId="3" fontId="104" fillId="3" borderId="24" xfId="0" applyNumberFormat="1" applyFont="1" applyFill="1" applyBorder="1" applyAlignment="1">
      <alignment horizontal="center"/>
    </xf>
    <xf numFmtId="0" fontId="104" fillId="0" borderId="0" xfId="11" applyFont="1" applyFill="1" applyBorder="1" applyAlignment="1">
      <alignment horizontal="center"/>
    </xf>
    <xf numFmtId="3" fontId="104" fillId="0" borderId="0" xfId="11" applyNumberFormat="1" applyFont="1" applyFill="1" applyBorder="1" applyAlignment="1">
      <alignment horizontal="center"/>
    </xf>
    <xf numFmtId="3" fontId="104" fillId="0" borderId="0" xfId="0" applyNumberFormat="1" applyFont="1" applyFill="1" applyBorder="1" applyAlignment="1">
      <alignment horizontal="center"/>
    </xf>
    <xf numFmtId="0" fontId="107" fillId="0" borderId="0" xfId="10" applyFont="1" applyFill="1" applyBorder="1" applyAlignment="1">
      <alignment horizontal="left"/>
    </xf>
    <xf numFmtId="3" fontId="107" fillId="0" borderId="0" xfId="10" quotePrefix="1" applyNumberFormat="1" applyFont="1" applyFill="1" applyBorder="1" applyAlignment="1">
      <alignment horizontal="center"/>
    </xf>
    <xf numFmtId="42" fontId="106" fillId="0" borderId="0" xfId="0" applyNumberFormat="1" applyFont="1" applyFill="1" applyBorder="1" applyAlignment="1"/>
    <xf numFmtId="43" fontId="106" fillId="0" borderId="0" xfId="1" applyFont="1" applyFill="1"/>
    <xf numFmtId="1" fontId="107" fillId="0" borderId="0" xfId="10" quotePrefix="1" applyNumberFormat="1" applyFont="1" applyFill="1" applyBorder="1" applyAlignment="1">
      <alignment horizontal="center"/>
    </xf>
    <xf numFmtId="164" fontId="104" fillId="0" borderId="5" xfId="10" applyNumberFormat="1" applyFont="1" applyFill="1" applyBorder="1" applyAlignment="1">
      <alignment horizontal="left" indent="3"/>
    </xf>
    <xf numFmtId="164" fontId="109" fillId="0" borderId="10" xfId="10" quotePrefix="1" applyNumberFormat="1" applyFont="1" applyFill="1" applyBorder="1" applyAlignment="1">
      <alignment horizontal="center"/>
    </xf>
    <xf numFmtId="42" fontId="104" fillId="0" borderId="3" xfId="0" applyNumberFormat="1" applyFont="1" applyFill="1" applyBorder="1" applyAlignment="1"/>
    <xf numFmtId="164" fontId="109" fillId="0" borderId="0" xfId="10" applyNumberFormat="1" applyFont="1" applyFill="1" applyBorder="1" applyAlignment="1">
      <alignment horizontal="left" indent="3"/>
    </xf>
    <xf numFmtId="164" fontId="109" fillId="0" borderId="0" xfId="10" quotePrefix="1" applyNumberFormat="1" applyFont="1" applyFill="1" applyBorder="1" applyAlignment="1">
      <alignment horizontal="center"/>
    </xf>
    <xf numFmtId="42" fontId="104" fillId="0" borderId="0" xfId="0" applyNumberFormat="1" applyFont="1" applyFill="1" applyBorder="1" applyAlignment="1"/>
    <xf numFmtId="0" fontId="107" fillId="0" borderId="0" xfId="0" applyFont="1" applyFill="1" applyBorder="1" applyAlignment="1">
      <alignment horizontal="left"/>
    </xf>
    <xf numFmtId="3" fontId="107" fillId="0" borderId="0" xfId="0" quotePrefix="1" applyNumberFormat="1" applyFont="1" applyFill="1" applyBorder="1" applyAlignment="1">
      <alignment horizontal="center"/>
    </xf>
    <xf numFmtId="164" fontId="109" fillId="0" borderId="10" xfId="10" applyNumberFormat="1" applyFont="1" applyFill="1" applyBorder="1" applyAlignment="1">
      <alignment horizontal="center"/>
    </xf>
    <xf numFmtId="164" fontId="109" fillId="0" borderId="0" xfId="10" applyNumberFormat="1" applyFont="1" applyFill="1" applyBorder="1" applyAlignment="1">
      <alignment horizontal="center"/>
    </xf>
    <xf numFmtId="0" fontId="107" fillId="0" borderId="0" xfId="10" applyFont="1" applyBorder="1"/>
    <xf numFmtId="0" fontId="107" fillId="0" borderId="0" xfId="10" quotePrefix="1" applyFont="1" applyBorder="1" applyAlignment="1">
      <alignment horizontal="center"/>
    </xf>
    <xf numFmtId="0" fontId="107" fillId="0" borderId="0" xfId="10" applyFont="1" applyBorder="1" applyAlignment="1">
      <alignment horizontal="center"/>
    </xf>
    <xf numFmtId="164" fontId="107" fillId="0" borderId="0" xfId="10" applyNumberFormat="1" applyFont="1" applyFill="1" applyBorder="1" applyAlignment="1">
      <alignment horizontal="left"/>
    </xf>
    <xf numFmtId="164" fontId="107" fillId="0" borderId="0" xfId="10" quotePrefix="1" applyNumberFormat="1" applyFont="1" applyFill="1" applyBorder="1" applyAlignment="1">
      <alignment horizontal="center"/>
    </xf>
    <xf numFmtId="0" fontId="107" fillId="0" borderId="0" xfId="10" applyFont="1" applyFill="1" applyBorder="1"/>
    <xf numFmtId="0" fontId="107" fillId="0" borderId="0" xfId="10" quotePrefix="1" applyFont="1" applyFill="1" applyBorder="1" applyAlignment="1">
      <alignment horizontal="center"/>
    </xf>
    <xf numFmtId="0" fontId="107" fillId="0" borderId="0" xfId="10" applyFont="1" applyBorder="1" applyAlignment="1">
      <alignment horizontal="center" wrapText="1"/>
    </xf>
    <xf numFmtId="42" fontId="104" fillId="0" borderId="10" xfId="0" applyNumberFormat="1" applyFont="1" applyFill="1" applyBorder="1" applyAlignment="1"/>
    <xf numFmtId="0" fontId="107" fillId="0" borderId="0" xfId="10" applyFont="1" applyBorder="1" applyAlignment="1">
      <alignment horizontal="left"/>
    </xf>
    <xf numFmtId="164" fontId="104" fillId="0" borderId="10" xfId="10" applyNumberFormat="1" applyFont="1" applyFill="1" applyBorder="1" applyAlignment="1">
      <alignment horizontal="center"/>
    </xf>
    <xf numFmtId="164" fontId="104" fillId="0" borderId="0" xfId="10" applyNumberFormat="1" applyFont="1" applyFill="1" applyBorder="1" applyAlignment="1">
      <alignment horizontal="left" indent="3"/>
    </xf>
    <xf numFmtId="164" fontId="104" fillId="0" borderId="0" xfId="10" applyNumberFormat="1" applyFont="1" applyFill="1" applyBorder="1" applyAlignment="1">
      <alignment horizontal="center"/>
    </xf>
    <xf numFmtId="164" fontId="104" fillId="0" borderId="36" xfId="10" applyNumberFormat="1" applyFont="1" applyFill="1" applyBorder="1"/>
    <xf numFmtId="164" fontId="104" fillId="0" borderId="37" xfId="10" applyNumberFormat="1" applyFont="1" applyFill="1" applyBorder="1" applyAlignment="1">
      <alignment horizontal="center"/>
    </xf>
    <xf numFmtId="42" fontId="104" fillId="0" borderId="37" xfId="0" applyNumberFormat="1" applyFont="1" applyFill="1" applyBorder="1" applyAlignment="1"/>
    <xf numFmtId="42" fontId="104" fillId="0" borderId="39" xfId="0" applyNumberFormat="1" applyFont="1" applyFill="1" applyBorder="1" applyAlignment="1"/>
    <xf numFmtId="0" fontId="109" fillId="0" borderId="0" xfId="0" applyFont="1" applyFill="1" applyAlignment="1">
      <alignment horizontal="centerContinuous"/>
    </xf>
    <xf numFmtId="0" fontId="104" fillId="0" borderId="0" xfId="0" applyFont="1" applyFill="1" applyAlignment="1">
      <alignment horizontal="centerContinuous"/>
    </xf>
    <xf numFmtId="0" fontId="106" fillId="5" borderId="11" xfId="0" applyFont="1" applyFill="1" applyBorder="1" applyAlignment="1">
      <alignment horizontal="center"/>
    </xf>
    <xf numFmtId="0" fontId="106" fillId="5" borderId="7" xfId="0" applyFont="1" applyFill="1" applyBorder="1" applyAlignment="1"/>
    <xf numFmtId="0" fontId="106" fillId="5" borderId="7" xfId="0" applyFont="1" applyFill="1" applyBorder="1" applyAlignment="1">
      <alignment horizontal="center"/>
    </xf>
    <xf numFmtId="0" fontId="106" fillId="5" borderId="8" xfId="0" applyFont="1" applyFill="1" applyBorder="1" applyAlignment="1">
      <alignment horizontal="center"/>
    </xf>
    <xf numFmtId="0" fontId="109" fillId="3" borderId="12" xfId="0" applyFont="1" applyFill="1" applyBorder="1" applyAlignment="1">
      <alignment horizontal="center" vertical="center"/>
    </xf>
    <xf numFmtId="0" fontId="109" fillId="3" borderId="4" xfId="0" applyFont="1" applyFill="1" applyBorder="1" applyAlignment="1">
      <alignment horizontal="center" vertical="center"/>
    </xf>
    <xf numFmtId="3" fontId="104" fillId="3" borderId="24" xfId="0" applyNumberFormat="1" applyFont="1" applyFill="1" applyBorder="1" applyAlignment="1">
      <alignment horizontal="center" vertical="center"/>
    </xf>
    <xf numFmtId="3" fontId="109" fillId="3" borderId="4" xfId="0" applyNumberFormat="1" applyFont="1" applyFill="1" applyBorder="1" applyAlignment="1">
      <alignment horizontal="center" vertical="center" wrapText="1"/>
    </xf>
    <xf numFmtId="3" fontId="104" fillId="3" borderId="4" xfId="0" applyNumberFormat="1" applyFont="1" applyFill="1" applyBorder="1" applyAlignment="1">
      <alignment horizontal="center" vertical="center" wrapText="1"/>
    </xf>
    <xf numFmtId="3" fontId="104" fillId="3" borderId="13" xfId="0" applyNumberFormat="1" applyFont="1" applyFill="1" applyBorder="1" applyAlignment="1">
      <alignment horizontal="center" vertical="center" wrapText="1"/>
    </xf>
    <xf numFmtId="3" fontId="104" fillId="3" borderId="24" xfId="0" applyNumberFormat="1" applyFont="1" applyFill="1" applyBorder="1" applyAlignment="1">
      <alignment horizontal="center" vertical="center" wrapText="1"/>
    </xf>
    <xf numFmtId="3" fontId="104" fillId="3" borderId="35" xfId="0" applyNumberFormat="1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/>
    </xf>
    <xf numFmtId="3" fontId="104" fillId="0" borderId="0" xfId="0" applyNumberFormat="1" applyFont="1" applyFill="1" applyBorder="1" applyAlignment="1">
      <alignment horizontal="center" vertical="center"/>
    </xf>
    <xf numFmtId="3" fontId="109" fillId="0" borderId="0" xfId="0" applyNumberFormat="1" applyFont="1" applyFill="1" applyBorder="1" applyAlignment="1">
      <alignment horizontal="center" vertical="center" wrapText="1"/>
    </xf>
    <xf numFmtId="3" fontId="104" fillId="0" borderId="0" xfId="0" applyNumberFormat="1" applyFont="1" applyFill="1" applyBorder="1" applyAlignment="1">
      <alignment horizontal="center" vertical="center" wrapText="1"/>
    </xf>
    <xf numFmtId="42" fontId="106" fillId="0" borderId="0" xfId="0" applyNumberFormat="1" applyFont="1" applyFill="1" applyBorder="1" applyAlignment="1">
      <alignment horizontal="right" vertical="center"/>
    </xf>
    <xf numFmtId="42" fontId="104" fillId="0" borderId="3" xfId="0" applyNumberFormat="1" applyFont="1" applyFill="1" applyBorder="1" applyAlignment="1">
      <alignment horizontal="right" vertical="center"/>
    </xf>
    <xf numFmtId="5" fontId="104" fillId="0" borderId="0" xfId="0" applyNumberFormat="1" applyFont="1" applyFill="1" applyBorder="1" applyAlignment="1">
      <alignment horizontal="left" vertical="center"/>
    </xf>
    <xf numFmtId="37" fontId="104" fillId="0" borderId="0" xfId="0" applyNumberFormat="1" applyFont="1" applyFill="1" applyBorder="1" applyAlignment="1">
      <alignment horizontal="left" vertical="center"/>
    </xf>
    <xf numFmtId="164" fontId="109" fillId="0" borderId="38" xfId="10" applyNumberFormat="1" applyFont="1" applyFill="1" applyBorder="1" applyAlignment="1">
      <alignment horizontal="left" vertical="center"/>
    </xf>
    <xf numFmtId="42" fontId="104" fillId="0" borderId="38" xfId="0" applyNumberFormat="1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center"/>
    </xf>
    <xf numFmtId="0" fontId="106" fillId="5" borderId="9" xfId="0" applyFont="1" applyFill="1" applyBorder="1" applyAlignment="1">
      <alignment horizontal="center"/>
    </xf>
    <xf numFmtId="0" fontId="109" fillId="0" borderId="0" xfId="3" applyFont="1" applyFill="1" applyAlignment="1">
      <alignment horizontal="centerContinuous"/>
    </xf>
    <xf numFmtId="0" fontId="104" fillId="0" borderId="0" xfId="3" applyFont="1" applyFill="1" applyAlignment="1">
      <alignment horizontal="centerContinuous"/>
    </xf>
    <xf numFmtId="0" fontId="112" fillId="0" borderId="0" xfId="3" applyFont="1" applyFill="1" applyAlignment="1">
      <alignment horizontal="center"/>
    </xf>
    <xf numFmtId="49" fontId="112" fillId="0" borderId="0" xfId="3" applyNumberFormat="1" applyFont="1" applyFill="1" applyAlignment="1">
      <alignment horizontal="left" indent="1"/>
    </xf>
    <xf numFmtId="0" fontId="104" fillId="3" borderId="0" xfId="3" applyFont="1" applyFill="1" applyBorder="1" applyAlignment="1">
      <alignment horizontal="center" wrapText="1"/>
    </xf>
    <xf numFmtId="0" fontId="59" fillId="0" borderId="0" xfId="3" applyFont="1" applyFill="1" applyAlignment="1">
      <alignment wrapText="1"/>
    </xf>
    <xf numFmtId="0" fontId="106" fillId="0" borderId="0" xfId="3" applyFont="1" applyFill="1" applyBorder="1"/>
    <xf numFmtId="49" fontId="106" fillId="0" borderId="0" xfId="3" applyNumberFormat="1" applyFont="1" applyFill="1" applyBorder="1" applyAlignment="1">
      <alignment horizontal="left" indent="1"/>
    </xf>
    <xf numFmtId="0" fontId="106" fillId="0" borderId="0" xfId="3" applyFont="1" applyFill="1"/>
    <xf numFmtId="0" fontId="107" fillId="0" borderId="0" xfId="1" quotePrefix="1" applyNumberFormat="1" applyFont="1" applyFill="1" applyBorder="1" applyAlignment="1">
      <alignment vertical="top"/>
    </xf>
    <xf numFmtId="165" fontId="107" fillId="0" borderId="0" xfId="1" applyNumberFormat="1" applyFont="1" applyFill="1" applyBorder="1" applyAlignment="1">
      <alignment vertical="top" wrapText="1"/>
    </xf>
    <xf numFmtId="166" fontId="106" fillId="0" borderId="0" xfId="2" applyNumberFormat="1" applyFont="1" applyFill="1" applyBorder="1"/>
    <xf numFmtId="49" fontId="106" fillId="0" borderId="0" xfId="2" applyNumberFormat="1" applyFont="1" applyFill="1" applyBorder="1" applyAlignment="1">
      <alignment horizontal="center"/>
    </xf>
    <xf numFmtId="43" fontId="113" fillId="0" borderId="0" xfId="1" applyFont="1" applyFill="1"/>
    <xf numFmtId="49" fontId="106" fillId="0" borderId="0" xfId="1" applyNumberFormat="1" applyFont="1" applyFill="1" applyBorder="1" applyAlignment="1">
      <alignment horizontal="center"/>
    </xf>
    <xf numFmtId="0" fontId="104" fillId="0" borderId="3" xfId="3" applyFont="1" applyFill="1" applyBorder="1" applyAlignment="1"/>
    <xf numFmtId="0" fontId="109" fillId="0" borderId="3" xfId="3" applyFont="1" applyFill="1" applyBorder="1"/>
    <xf numFmtId="166" fontId="104" fillId="0" borderId="3" xfId="2" applyNumberFormat="1" applyFont="1" applyFill="1" applyBorder="1"/>
    <xf numFmtId="165" fontId="114" fillId="0" borderId="0" xfId="1" applyNumberFormat="1" applyFont="1" applyFill="1" applyBorder="1"/>
    <xf numFmtId="165" fontId="112" fillId="0" borderId="0" xfId="1" applyNumberFormat="1" applyFont="1" applyFill="1" applyBorder="1" applyAlignment="1">
      <alignment horizontal="center"/>
    </xf>
    <xf numFmtId="165" fontId="115" fillId="0" borderId="0" xfId="1" applyNumberFormat="1" applyFont="1" applyFill="1" applyBorder="1"/>
    <xf numFmtId="49" fontId="114" fillId="0" borderId="0" xfId="1" applyNumberFormat="1" applyFont="1" applyFill="1" applyBorder="1" applyAlignment="1">
      <alignment horizontal="center"/>
    </xf>
    <xf numFmtId="43" fontId="114" fillId="0" borderId="0" xfId="1" applyFont="1" applyFill="1" applyBorder="1" applyAlignment="1">
      <alignment horizontal="center"/>
    </xf>
    <xf numFmtId="0" fontId="104" fillId="0" borderId="39" xfId="3" applyFont="1" applyFill="1" applyBorder="1"/>
    <xf numFmtId="0" fontId="109" fillId="0" borderId="39" xfId="3" applyFont="1" applyFill="1" applyBorder="1"/>
    <xf numFmtId="166" fontId="104" fillId="0" borderId="39" xfId="2" applyNumberFormat="1" applyFont="1" applyFill="1" applyBorder="1"/>
    <xf numFmtId="0" fontId="111" fillId="0" borderId="0" xfId="3" applyFont="1" applyFill="1" applyBorder="1"/>
    <xf numFmtId="0" fontId="109" fillId="0" borderId="0" xfId="3" applyFont="1" applyFill="1" applyBorder="1"/>
    <xf numFmtId="166" fontId="104" fillId="0" borderId="0" xfId="2" applyNumberFormat="1" applyFont="1" applyFill="1" applyBorder="1"/>
    <xf numFmtId="49" fontId="104" fillId="0" borderId="0" xfId="2" applyNumberFormat="1" applyFont="1" applyFill="1" applyBorder="1" applyAlignment="1">
      <alignment horizontal="center"/>
    </xf>
    <xf numFmtId="43" fontId="104" fillId="0" borderId="0" xfId="1" applyFont="1" applyFill="1" applyBorder="1" applyAlignment="1">
      <alignment horizontal="center"/>
    </xf>
    <xf numFmtId="0" fontId="107" fillId="0" borderId="0" xfId="3" applyFont="1" applyFill="1" applyBorder="1" applyAlignment="1">
      <alignment horizontal="left" indent="1"/>
    </xf>
    <xf numFmtId="0" fontId="107" fillId="0" borderId="0" xfId="3" applyFont="1" applyFill="1" applyBorder="1"/>
    <xf numFmtId="0" fontId="109" fillId="0" borderId="0" xfId="3" applyFont="1" applyFill="1" applyBorder="1" applyAlignment="1">
      <alignment horizontal="left" indent="1"/>
    </xf>
    <xf numFmtId="166" fontId="107" fillId="0" borderId="0" xfId="2" applyNumberFormat="1" applyFont="1" applyFill="1" applyBorder="1"/>
    <xf numFmtId="49" fontId="107" fillId="0" borderId="0" xfId="2" applyNumberFormat="1" applyFont="1" applyFill="1" applyBorder="1" applyAlignment="1">
      <alignment horizontal="center"/>
    </xf>
    <xf numFmtId="0" fontId="106" fillId="0" borderId="0" xfId="3" applyFont="1" applyFill="1" applyBorder="1" applyAlignment="1">
      <alignment horizontal="left" indent="1"/>
    </xf>
    <xf numFmtId="166" fontId="113" fillId="0" borderId="0" xfId="3" applyNumberFormat="1" applyFont="1" applyFill="1" applyBorder="1"/>
    <xf numFmtId="0" fontId="104" fillId="0" borderId="0" xfId="3" applyFont="1" applyFill="1" applyBorder="1"/>
    <xf numFmtId="0" fontId="107" fillId="0" borderId="0" xfId="3" applyNumberFormat="1" applyFont="1" applyFill="1" applyAlignment="1">
      <alignment horizontal="left"/>
    </xf>
    <xf numFmtId="49" fontId="107" fillId="0" borderId="0" xfId="3" applyNumberFormat="1" applyFont="1" applyFill="1" applyAlignment="1">
      <alignment wrapText="1"/>
    </xf>
    <xf numFmtId="43" fontId="107" fillId="0" borderId="0" xfId="1" applyFont="1" applyFill="1" applyAlignment="1">
      <alignment wrapText="1"/>
    </xf>
    <xf numFmtId="0" fontId="106" fillId="0" borderId="0" xfId="0" applyFont="1"/>
    <xf numFmtId="49" fontId="107" fillId="0" borderId="0" xfId="3" applyNumberFormat="1" applyFont="1" applyFill="1" applyAlignment="1">
      <alignment horizontal="left" wrapText="1"/>
    </xf>
    <xf numFmtId="0" fontId="106" fillId="0" borderId="0" xfId="4300" applyFont="1" applyFill="1"/>
    <xf numFmtId="0" fontId="104" fillId="0" borderId="0" xfId="4300" applyFont="1" applyAlignment="1">
      <alignment horizontal="left"/>
    </xf>
    <xf numFmtId="0" fontId="104" fillId="0" borderId="0" xfId="4300" applyFont="1" applyAlignment="1"/>
    <xf numFmtId="49" fontId="104" fillId="0" borderId="0" xfId="4300" applyNumberFormat="1" applyFont="1" applyAlignment="1">
      <alignment horizontal="left"/>
    </xf>
    <xf numFmtId="0" fontId="104" fillId="0" borderId="0" xfId="4300" applyFont="1" applyAlignment="1">
      <alignment horizontal="center"/>
    </xf>
    <xf numFmtId="41" fontId="104" fillId="0" borderId="0" xfId="4300" applyNumberFormat="1" applyFont="1" applyAlignment="1">
      <alignment horizontal="center"/>
    </xf>
    <xf numFmtId="38" fontId="106" fillId="0" borderId="47" xfId="4300" applyNumberFormat="1" applyFont="1" applyBorder="1" applyAlignment="1">
      <alignment horizontal="center"/>
    </xf>
    <xf numFmtId="38" fontId="106" fillId="0" borderId="40" xfId="4300" applyNumberFormat="1" applyFont="1" applyBorder="1" applyAlignment="1">
      <alignment horizontal="center"/>
    </xf>
    <xf numFmtId="38" fontId="106" fillId="0" borderId="40" xfId="4300" applyNumberFormat="1" applyFont="1" applyFill="1" applyBorder="1" applyAlignment="1">
      <alignment horizontal="center"/>
    </xf>
    <xf numFmtId="38" fontId="106" fillId="0" borderId="41" xfId="4300" applyNumberFormat="1" applyFont="1" applyBorder="1" applyAlignment="1">
      <alignment horizontal="center"/>
    </xf>
    <xf numFmtId="38" fontId="106" fillId="0" borderId="0" xfId="4300" applyNumberFormat="1" applyFont="1" applyBorder="1" applyAlignment="1">
      <alignment horizontal="center" vertical="center" wrapText="1"/>
    </xf>
    <xf numFmtId="38" fontId="106" fillId="0" borderId="52" xfId="4300" applyNumberFormat="1" applyFont="1" applyBorder="1" applyAlignment="1">
      <alignment horizontal="center" vertical="center" wrapText="1"/>
    </xf>
    <xf numFmtId="38" fontId="106" fillId="0" borderId="42" xfId="4300" applyNumberFormat="1" applyFont="1" applyBorder="1" applyAlignment="1">
      <alignment horizontal="center" vertical="center" wrapText="1"/>
    </xf>
    <xf numFmtId="38" fontId="106" fillId="0" borderId="42" xfId="4300" applyNumberFormat="1" applyFont="1" applyFill="1" applyBorder="1" applyAlignment="1">
      <alignment horizontal="center" vertical="center" wrapText="1"/>
    </xf>
    <xf numFmtId="38" fontId="106" fillId="0" borderId="43" xfId="4300" applyNumberFormat="1" applyFont="1" applyBorder="1" applyAlignment="1">
      <alignment horizontal="center" vertical="center"/>
    </xf>
    <xf numFmtId="0" fontId="104" fillId="0" borderId="44" xfId="4300" applyFont="1" applyBorder="1" applyAlignment="1">
      <alignment horizontal="center"/>
    </xf>
    <xf numFmtId="0" fontId="104" fillId="28" borderId="53" xfId="4300" applyFont="1" applyFill="1" applyBorder="1" applyAlignment="1">
      <alignment horizontal="center"/>
    </xf>
    <xf numFmtId="41" fontId="106" fillId="0" borderId="54" xfId="4300" applyNumberFormat="1" applyFont="1" applyBorder="1"/>
    <xf numFmtId="41" fontId="106" fillId="0" borderId="55" xfId="4300" applyNumberFormat="1" applyFont="1" applyBorder="1"/>
    <xf numFmtId="41" fontId="106" fillId="0" borderId="57" xfId="4300" applyNumberFormat="1" applyFont="1" applyFill="1" applyBorder="1"/>
    <xf numFmtId="41" fontId="106" fillId="0" borderId="58" xfId="4300" applyNumberFormat="1" applyFont="1" applyFill="1" applyBorder="1"/>
    <xf numFmtId="0" fontId="106" fillId="0" borderId="3" xfId="4300" applyFont="1" applyFill="1" applyBorder="1" applyAlignment="1">
      <alignment vertical="center" wrapText="1"/>
    </xf>
    <xf numFmtId="0" fontId="104" fillId="28" borderId="46" xfId="4300" applyFont="1" applyFill="1" applyBorder="1" applyAlignment="1">
      <alignment horizontal="center" wrapText="1"/>
    </xf>
    <xf numFmtId="0" fontId="106" fillId="0" borderId="30" xfId="4300" applyFont="1" applyBorder="1"/>
    <xf numFmtId="0" fontId="109" fillId="0" borderId="45" xfId="4300" applyFont="1" applyFill="1" applyBorder="1" applyAlignment="1">
      <alignment horizontal="right" wrapText="1"/>
    </xf>
    <xf numFmtId="0" fontId="109" fillId="0" borderId="0" xfId="4300" applyFont="1" applyFill="1" applyBorder="1" applyAlignment="1">
      <alignment horizontal="right" wrapText="1"/>
    </xf>
    <xf numFmtId="0" fontId="106" fillId="28" borderId="44" xfId="4300" applyFont="1" applyFill="1" applyBorder="1"/>
    <xf numFmtId="0" fontId="106" fillId="0" borderId="0" xfId="4300" applyFont="1" applyAlignment="1">
      <alignment horizontal="center"/>
    </xf>
    <xf numFmtId="0" fontId="106" fillId="0" borderId="0" xfId="4300" applyFont="1" applyFill="1" applyBorder="1"/>
    <xf numFmtId="38" fontId="104" fillId="0" borderId="0" xfId="4300" applyNumberFormat="1" applyFont="1" applyBorder="1"/>
    <xf numFmtId="165" fontId="106" fillId="0" borderId="6" xfId="13" applyNumberFormat="1" applyFont="1" applyFill="1" applyBorder="1"/>
    <xf numFmtId="167" fontId="106" fillId="0" borderId="6" xfId="13" applyNumberFormat="1" applyFont="1" applyFill="1" applyBorder="1"/>
    <xf numFmtId="165" fontId="106" fillId="0" borderId="6" xfId="13" applyNumberFormat="1" applyFont="1" applyFill="1" applyBorder="1" applyAlignment="1">
      <alignment horizontal="center"/>
    </xf>
    <xf numFmtId="166" fontId="104" fillId="0" borderId="0" xfId="14" applyNumberFormat="1" applyFont="1" applyFill="1" applyBorder="1"/>
    <xf numFmtId="0" fontId="107" fillId="0" borderId="0" xfId="0" applyFont="1" applyFill="1"/>
    <xf numFmtId="0" fontId="106" fillId="0" borderId="0" xfId="0" applyFont="1" applyBorder="1" applyAlignment="1">
      <alignment horizontal="center"/>
    </xf>
    <xf numFmtId="37" fontId="106" fillId="0" borderId="0" xfId="0" applyNumberFormat="1" applyFont="1" applyBorder="1" applyAlignment="1">
      <alignment horizontal="center"/>
    </xf>
    <xf numFmtId="0" fontId="104" fillId="3" borderId="12" xfId="0" applyFont="1" applyFill="1" applyBorder="1" applyAlignment="1">
      <alignment horizontal="center" vertical="center"/>
    </xf>
    <xf numFmtId="0" fontId="104" fillId="3" borderId="4" xfId="0" applyFont="1" applyFill="1" applyBorder="1" applyAlignment="1">
      <alignment horizontal="center" vertical="center"/>
    </xf>
    <xf numFmtId="3" fontId="104" fillId="3" borderId="35" xfId="0" applyNumberFormat="1" applyFont="1" applyFill="1" applyBorder="1" applyAlignment="1">
      <alignment horizontal="center" vertical="center"/>
    </xf>
    <xf numFmtId="3" fontId="109" fillId="3" borderId="10" xfId="0" applyNumberFormat="1" applyFont="1" applyFill="1" applyBorder="1" applyAlignment="1">
      <alignment horizontal="center" vertical="center" wrapText="1"/>
    </xf>
    <xf numFmtId="3" fontId="109" fillId="3" borderId="3" xfId="0" applyNumberFormat="1" applyFont="1" applyFill="1" applyBorder="1" applyAlignment="1">
      <alignment horizontal="center" vertical="center" wrapText="1"/>
    </xf>
    <xf numFmtId="3" fontId="104" fillId="3" borderId="5" xfId="0" applyNumberFormat="1" applyFont="1" applyFill="1" applyBorder="1" applyAlignment="1">
      <alignment horizontal="center" vertical="center" wrapText="1"/>
    </xf>
    <xf numFmtId="42" fontId="106" fillId="0" borderId="0" xfId="0" applyNumberFormat="1" applyFont="1" applyFill="1" applyBorder="1" applyAlignment="1">
      <alignment vertical="center"/>
    </xf>
    <xf numFmtId="42" fontId="104" fillId="0" borderId="3" xfId="0" applyNumberFormat="1" applyFont="1" applyFill="1" applyBorder="1" applyAlignment="1">
      <alignment vertical="center"/>
    </xf>
    <xf numFmtId="164" fontId="104" fillId="0" borderId="0" xfId="0" applyNumberFormat="1" applyFont="1" applyFill="1" applyAlignment="1">
      <alignment vertical="center"/>
    </xf>
    <xf numFmtId="164" fontId="107" fillId="0" borderId="0" xfId="10" applyNumberFormat="1" applyFont="1" applyFill="1" applyBorder="1" applyAlignment="1">
      <alignment vertical="center"/>
    </xf>
    <xf numFmtId="42" fontId="104" fillId="0" borderId="0" xfId="0" applyNumberFormat="1" applyFont="1" applyFill="1" applyBorder="1" applyAlignment="1">
      <alignment vertical="center"/>
    </xf>
    <xf numFmtId="164" fontId="109" fillId="0" borderId="39" xfId="10" applyNumberFormat="1" applyFont="1" applyFill="1" applyBorder="1" applyAlignment="1">
      <alignment vertical="center"/>
    </xf>
    <xf numFmtId="42" fontId="104" fillId="0" borderId="39" xfId="0" applyNumberFormat="1" applyFont="1" applyFill="1" applyBorder="1" applyAlignment="1">
      <alignment vertical="center"/>
    </xf>
    <xf numFmtId="42" fontId="94" fillId="0" borderId="0" xfId="0" applyNumberFormat="1" applyFont="1" applyFill="1" applyBorder="1" applyAlignment="1">
      <alignment vertical="center"/>
    </xf>
    <xf numFmtId="0" fontId="116" fillId="0" borderId="0" xfId="50935" applyFont="1"/>
    <xf numFmtId="41" fontId="104" fillId="28" borderId="56" xfId="4300" applyNumberFormat="1" applyFont="1" applyFill="1" applyBorder="1"/>
    <xf numFmtId="42" fontId="106" fillId="0" borderId="0" xfId="1" applyNumberFormat="1" applyFont="1" applyFill="1" applyBorder="1" applyAlignment="1">
      <alignment horizontal="center"/>
    </xf>
    <xf numFmtId="42" fontId="104" fillId="0" borderId="3" xfId="1" applyNumberFormat="1" applyFont="1" applyFill="1" applyBorder="1" applyAlignment="1">
      <alignment horizontal="center"/>
    </xf>
    <xf numFmtId="42" fontId="104" fillId="0" borderId="0" xfId="1" applyNumberFormat="1" applyFont="1" applyFill="1" applyBorder="1" applyAlignment="1">
      <alignment horizontal="center"/>
    </xf>
    <xf numFmtId="0" fontId="104" fillId="0" borderId="11" xfId="0" applyFont="1" applyFill="1" applyBorder="1" applyAlignment="1">
      <alignment horizontal="center" vertical="center"/>
    </xf>
    <xf numFmtId="3" fontId="104" fillId="0" borderId="11" xfId="0" applyNumberFormat="1" applyFont="1" applyFill="1" applyBorder="1" applyAlignment="1">
      <alignment horizontal="center" vertical="center"/>
    </xf>
    <xf numFmtId="3" fontId="109" fillId="0" borderId="11" xfId="0" applyNumberFormat="1" applyFont="1" applyFill="1" applyBorder="1" applyAlignment="1">
      <alignment horizontal="center" vertical="center" wrapText="1"/>
    </xf>
    <xf numFmtId="3" fontId="104" fillId="0" borderId="11" xfId="0" applyNumberFormat="1" applyFont="1" applyFill="1" applyBorder="1" applyAlignment="1">
      <alignment horizontal="center" vertical="center" wrapText="1"/>
    </xf>
    <xf numFmtId="165" fontId="106" fillId="0" borderId="6" xfId="13" applyNumberFormat="1" applyFont="1" applyBorder="1"/>
    <xf numFmtId="166" fontId="104" fillId="0" borderId="0" xfId="14" applyNumberFormat="1" applyFont="1" applyBorder="1"/>
    <xf numFmtId="41" fontId="105" fillId="0" borderId="0" xfId="4300" applyNumberFormat="1" applyFont="1" applyAlignment="1"/>
    <xf numFmtId="41" fontId="105" fillId="0" borderId="0" xfId="4300" applyNumberFormat="1" applyFont="1"/>
    <xf numFmtId="41" fontId="104" fillId="0" borderId="59" xfId="4300" quotePrefix="1" applyNumberFormat="1" applyFont="1" applyBorder="1" applyAlignment="1">
      <alignment horizontal="center"/>
    </xf>
    <xf numFmtId="41" fontId="105" fillId="0" borderId="0" xfId="50939" applyNumberFormat="1" applyFont="1" applyAlignment="1"/>
    <xf numFmtId="41" fontId="52" fillId="0" borderId="0" xfId="4300" applyNumberFormat="1"/>
    <xf numFmtId="0" fontId="105" fillId="0" borderId="0" xfId="4300" applyFont="1" applyAlignment="1"/>
    <xf numFmtId="43" fontId="105" fillId="0" borderId="0" xfId="1" applyFont="1" applyAlignment="1"/>
    <xf numFmtId="15" fontId="105" fillId="0" borderId="0" xfId="50939" applyNumberFormat="1" applyFont="1" applyAlignment="1"/>
    <xf numFmtId="41" fontId="105" fillId="0" borderId="0" xfId="16" applyNumberFormat="1" applyFont="1" applyAlignment="1"/>
    <xf numFmtId="0" fontId="105" fillId="0" borderId="0" xfId="50939" applyFont="1" applyAlignment="1"/>
    <xf numFmtId="41" fontId="105" fillId="0" borderId="0" xfId="16" applyNumberFormat="1" applyFont="1"/>
    <xf numFmtId="0" fontId="105" fillId="0" borderId="0" xfId="4300" applyFont="1"/>
    <xf numFmtId="43" fontId="105" fillId="0" borderId="0" xfId="1" applyFont="1"/>
    <xf numFmtId="169" fontId="105" fillId="0" borderId="0" xfId="4300" applyNumberFormat="1" applyFont="1"/>
    <xf numFmtId="165" fontId="105" fillId="0" borderId="0" xfId="4300" applyNumberFormat="1" applyFont="1"/>
    <xf numFmtId="8" fontId="105" fillId="0" borderId="0" xfId="4300" applyNumberFormat="1" applyFont="1"/>
    <xf numFmtId="0" fontId="105" fillId="0" borderId="0" xfId="4300" applyFont="1" applyFill="1"/>
    <xf numFmtId="43" fontId="105" fillId="0" borderId="0" xfId="1" applyFont="1" applyFill="1"/>
    <xf numFmtId="0" fontId="52" fillId="0" borderId="0" xfId="4300" applyAlignment="1"/>
    <xf numFmtId="0" fontId="52" fillId="0" borderId="0" xfId="4300"/>
    <xf numFmtId="169" fontId="52" fillId="0" borderId="0" xfId="4300" applyNumberFormat="1"/>
    <xf numFmtId="0" fontId="106" fillId="0" borderId="60" xfId="4300" applyFont="1" applyFill="1" applyBorder="1" applyAlignment="1">
      <alignment vertical="center" wrapText="1"/>
    </xf>
    <xf numFmtId="165" fontId="106" fillId="0" borderId="60" xfId="13" applyNumberFormat="1" applyFont="1" applyFill="1" applyBorder="1"/>
    <xf numFmtId="42" fontId="94" fillId="0" borderId="0" xfId="0" applyNumberFormat="1" applyFont="1" applyFill="1" applyAlignment="1">
      <alignment vertical="center"/>
    </xf>
    <xf numFmtId="17" fontId="104" fillId="0" borderId="0" xfId="0" applyNumberFormat="1" applyFont="1" applyBorder="1" applyAlignment="1">
      <alignment horizontal="center"/>
    </xf>
    <xf numFmtId="0" fontId="104" fillId="0" borderId="62" xfId="50939" quotePrefix="1" applyFont="1" applyBorder="1" applyAlignment="1">
      <alignment horizontal="left"/>
    </xf>
    <xf numFmtId="41" fontId="94" fillId="0" borderId="0" xfId="0" applyNumberFormat="1" applyFont="1"/>
    <xf numFmtId="0" fontId="94" fillId="0" borderId="0" xfId="0" applyFont="1" applyBorder="1"/>
    <xf numFmtId="167" fontId="118" fillId="0" borderId="63" xfId="14204" applyNumberFormat="1" applyFont="1" applyFill="1" applyBorder="1" applyAlignment="1">
      <alignment horizontal="center"/>
    </xf>
    <xf numFmtId="41" fontId="104" fillId="0" borderId="62" xfId="50939" applyNumberFormat="1" applyFont="1" applyBorder="1" applyAlignment="1"/>
    <xf numFmtId="0" fontId="107" fillId="0" borderId="0" xfId="3" applyFont="1" applyFill="1"/>
    <xf numFmtId="41" fontId="104" fillId="28" borderId="64" xfId="4300" applyNumberFormat="1" applyFont="1" applyFill="1" applyBorder="1"/>
    <xf numFmtId="171" fontId="106" fillId="0" borderId="6" xfId="13" applyNumberFormat="1" applyFont="1" applyBorder="1"/>
    <xf numFmtId="41" fontId="104" fillId="0" borderId="0" xfId="50939" applyNumberFormat="1" applyFont="1" applyAlignment="1">
      <alignment horizontal="center"/>
    </xf>
    <xf numFmtId="2" fontId="107" fillId="0" borderId="0" xfId="0" applyNumberFormat="1" applyFont="1" applyFill="1"/>
    <xf numFmtId="2" fontId="106" fillId="0" borderId="0" xfId="0" applyNumberFormat="1" applyFont="1" applyFill="1"/>
    <xf numFmtId="3" fontId="104" fillId="5" borderId="0" xfId="0" applyNumberFormat="1" applyFont="1" applyFill="1" applyAlignment="1">
      <alignment horizontal="center" wrapText="1"/>
    </xf>
    <xf numFmtId="0" fontId="104" fillId="0" borderId="0" xfId="0" applyFont="1" applyAlignment="1">
      <alignment horizontal="left"/>
    </xf>
    <xf numFmtId="164" fontId="104" fillId="0" borderId="38" xfId="10" applyNumberFormat="1" applyFont="1" applyFill="1" applyBorder="1"/>
    <xf numFmtId="172" fontId="104" fillId="0" borderId="38" xfId="10" applyNumberFormat="1" applyFont="1" applyFill="1" applyBorder="1"/>
    <xf numFmtId="165" fontId="106" fillId="0" borderId="6" xfId="13" applyNumberFormat="1" applyFont="1" applyFill="1" applyBorder="1" applyAlignment="1">
      <alignment horizontal="right"/>
    </xf>
    <xf numFmtId="165" fontId="106" fillId="0" borderId="60" xfId="13" applyNumberFormat="1" applyFont="1" applyFill="1" applyBorder="1" applyAlignment="1">
      <alignment horizontal="right"/>
    </xf>
    <xf numFmtId="0" fontId="104" fillId="0" borderId="0" xfId="50939" quotePrefix="1" applyFont="1" applyBorder="1" applyAlignment="1">
      <alignment horizontal="left"/>
    </xf>
    <xf numFmtId="0" fontId="106" fillId="0" borderId="0" xfId="50939" applyFont="1" applyAlignment="1">
      <alignment horizontal="center"/>
    </xf>
    <xf numFmtId="0" fontId="106" fillId="0" borderId="0" xfId="4300" applyFont="1" applyBorder="1" applyAlignment="1">
      <alignment horizontal="center"/>
    </xf>
    <xf numFmtId="41" fontId="104" fillId="0" borderId="0" xfId="4300" quotePrefix="1" applyNumberFormat="1" applyFont="1" applyBorder="1" applyAlignment="1">
      <alignment horizontal="center"/>
    </xf>
    <xf numFmtId="0" fontId="107" fillId="0" borderId="0" xfId="1" quotePrefix="1" applyNumberFormat="1" applyFont="1" applyFill="1" applyBorder="1" applyAlignment="1">
      <alignment horizontal="left" vertical="top"/>
    </xf>
    <xf numFmtId="167" fontId="106" fillId="0" borderId="0" xfId="13" applyNumberFormat="1" applyFont="1" applyFill="1" applyAlignment="1"/>
    <xf numFmtId="0" fontId="106" fillId="0" borderId="0" xfId="3" applyNumberFormat="1" applyFont="1" applyFill="1" applyAlignment="1">
      <alignment horizontal="left"/>
    </xf>
    <xf numFmtId="3" fontId="104" fillId="5" borderId="0" xfId="0" applyNumberFormat="1" applyFont="1" applyFill="1" applyAlignment="1">
      <alignment horizontal="center" vertical="center" wrapText="1"/>
    </xf>
    <xf numFmtId="3" fontId="104" fillId="3" borderId="7" xfId="0" applyNumberFormat="1" applyFont="1" applyFill="1" applyBorder="1" applyAlignment="1"/>
    <xf numFmtId="3" fontId="104" fillId="3" borderId="24" xfId="11" applyNumberFormat="1" applyFont="1" applyFill="1" applyBorder="1" applyAlignment="1">
      <alignment horizontal="center" vertical="top"/>
    </xf>
    <xf numFmtId="0" fontId="106" fillId="0" borderId="7" xfId="4300" applyFont="1" applyFill="1" applyBorder="1" applyAlignment="1">
      <alignment vertical="center" wrapText="1"/>
    </xf>
    <xf numFmtId="0" fontId="104" fillId="28" borderId="66" xfId="4300" applyFont="1" applyFill="1" applyBorder="1" applyAlignment="1">
      <alignment horizontal="center"/>
    </xf>
    <xf numFmtId="0" fontId="104" fillId="28" borderId="67" xfId="4300" applyFont="1" applyFill="1" applyBorder="1" applyAlignment="1">
      <alignment horizontal="center" wrapText="1"/>
    </xf>
    <xf numFmtId="41" fontId="104" fillId="28" borderId="68" xfId="4300" applyNumberFormat="1" applyFont="1" applyFill="1" applyBorder="1"/>
    <xf numFmtId="0" fontId="106" fillId="0" borderId="0" xfId="50939" applyFont="1" applyFill="1" applyAlignment="1">
      <alignment horizontal="center"/>
    </xf>
    <xf numFmtId="167" fontId="106" fillId="0" borderId="6" xfId="13" applyNumberFormat="1" applyFont="1" applyFill="1" applyBorder="1" applyAlignment="1">
      <alignment horizontal="center"/>
    </xf>
    <xf numFmtId="0" fontId="104" fillId="0" borderId="63" xfId="12" applyFont="1" applyFill="1" applyBorder="1" applyAlignment="1">
      <alignment horizontal="center"/>
    </xf>
    <xf numFmtId="0" fontId="104" fillId="0" borderId="63" xfId="12" applyFont="1" applyBorder="1" applyAlignment="1">
      <alignment horizontal="center"/>
    </xf>
    <xf numFmtId="167" fontId="104" fillId="0" borderId="63" xfId="16" applyNumberFormat="1" applyFont="1" applyFill="1" applyBorder="1" applyAlignment="1">
      <alignment horizontal="center"/>
    </xf>
    <xf numFmtId="0" fontId="104" fillId="3" borderId="3" xfId="12" applyFont="1" applyFill="1" applyBorder="1"/>
    <xf numFmtId="0" fontId="104" fillId="3" borderId="3" xfId="12" applyFont="1" applyFill="1" applyBorder="1" applyAlignment="1">
      <alignment horizontal="center"/>
    </xf>
    <xf numFmtId="167" fontId="104" fillId="3" borderId="3" xfId="50934" applyNumberFormat="1" applyFont="1" applyFill="1" applyBorder="1" applyAlignment="1">
      <alignment horizontal="center" vertical="center" wrapText="1"/>
    </xf>
    <xf numFmtId="167" fontId="104" fillId="3" borderId="3" xfId="16" applyNumberFormat="1" applyFont="1" applyFill="1" applyBorder="1" applyAlignment="1">
      <alignment horizontal="center" vertical="center" wrapText="1"/>
    </xf>
    <xf numFmtId="41" fontId="104" fillId="0" borderId="0" xfId="4300" applyNumberFormat="1" applyFont="1"/>
    <xf numFmtId="41" fontId="104" fillId="0" borderId="59" xfId="50939" quotePrefix="1" applyNumberFormat="1" applyFont="1" applyBorder="1" applyAlignment="1">
      <alignment horizontal="center"/>
    </xf>
    <xf numFmtId="41" fontId="104" fillId="0" borderId="0" xfId="50939" applyNumberFormat="1" applyFont="1" applyAlignment="1"/>
    <xf numFmtId="41" fontId="104" fillId="0" borderId="0" xfId="50939" applyNumberFormat="1" applyFont="1" applyAlignment="1">
      <alignment horizontal="left"/>
    </xf>
    <xf numFmtId="0" fontId="106" fillId="0" borderId="0" xfId="50939" applyFont="1" applyAlignment="1">
      <alignment horizontal="center" vertical="center" wrapText="1"/>
    </xf>
    <xf numFmtId="0" fontId="106" fillId="0" borderId="0" xfId="50939" applyFont="1" applyAlignment="1">
      <alignment vertical="top"/>
    </xf>
    <xf numFmtId="0" fontId="106" fillId="0" borderId="0" xfId="4300" applyFont="1" applyBorder="1" applyAlignment="1">
      <alignment vertical="top"/>
    </xf>
    <xf numFmtId="0" fontId="109" fillId="0" borderId="0" xfId="12" applyFont="1"/>
    <xf numFmtId="0" fontId="107" fillId="0" borderId="0" xfId="12" applyFont="1" applyFill="1"/>
    <xf numFmtId="0" fontId="107" fillId="0" borderId="0" xfId="12" applyFont="1" applyFill="1" applyAlignment="1"/>
    <xf numFmtId="0" fontId="109" fillId="0" borderId="0" xfId="12" applyFont="1" applyFill="1"/>
    <xf numFmtId="167" fontId="107" fillId="0" borderId="0" xfId="13" applyNumberFormat="1" applyFont="1" applyFill="1"/>
    <xf numFmtId="167" fontId="107" fillId="0" borderId="0" xfId="13" applyNumberFormat="1" applyFont="1" applyFill="1" applyAlignment="1"/>
    <xf numFmtId="172" fontId="106" fillId="0" borderId="38" xfId="10" applyNumberFormat="1" applyFont="1" applyFill="1" applyBorder="1"/>
    <xf numFmtId="3" fontId="104" fillId="0" borderId="0" xfId="0" applyNumberFormat="1" applyFont="1" applyFill="1"/>
    <xf numFmtId="165" fontId="106" fillId="0" borderId="0" xfId="16" applyNumberFormat="1" applyFont="1" applyFill="1"/>
    <xf numFmtId="165" fontId="104" fillId="0" borderId="0" xfId="16" applyNumberFormat="1" applyFont="1" applyFill="1"/>
    <xf numFmtId="165" fontId="106" fillId="0" borderId="0" xfId="1" applyNumberFormat="1" applyFont="1"/>
    <xf numFmtId="165" fontId="104" fillId="0" borderId="0" xfId="1" applyNumberFormat="1" applyFont="1"/>
    <xf numFmtId="5" fontId="107" fillId="0" borderId="2" xfId="10" applyNumberFormat="1" applyFont="1" applyFill="1" applyBorder="1" applyAlignment="1">
      <alignment horizontal="left" vertical="center"/>
    </xf>
    <xf numFmtId="37" fontId="107" fillId="0" borderId="2" xfId="10" applyNumberFormat="1" applyFont="1" applyFill="1" applyBorder="1" applyAlignment="1">
      <alignment horizontal="left" vertical="center"/>
    </xf>
    <xf numFmtId="40" fontId="0" fillId="0" borderId="0" xfId="0" applyNumberFormat="1"/>
    <xf numFmtId="0" fontId="104" fillId="0" borderId="71" xfId="4300" applyFont="1" applyBorder="1" applyAlignment="1">
      <alignment horizontal="center"/>
    </xf>
    <xf numFmtId="0" fontId="104" fillId="0" borderId="72" xfId="4300" applyFont="1" applyBorder="1" applyAlignment="1">
      <alignment horizontal="center"/>
    </xf>
    <xf numFmtId="0" fontId="104" fillId="0" borderId="28" xfId="4300" applyFont="1" applyBorder="1" applyAlignment="1">
      <alignment horizontal="center"/>
    </xf>
    <xf numFmtId="41" fontId="104" fillId="28" borderId="73" xfId="4300" applyNumberFormat="1" applyFont="1" applyFill="1" applyBorder="1"/>
    <xf numFmtId="0" fontId="104" fillId="0" borderId="3" xfId="4300" applyFont="1" applyBorder="1" applyAlignment="1">
      <alignment horizontal="center"/>
    </xf>
    <xf numFmtId="0" fontId="104" fillId="0" borderId="0" xfId="4300" applyFont="1" applyAlignment="1">
      <alignment horizontal="justify" vertical="center"/>
    </xf>
    <xf numFmtId="0" fontId="104" fillId="0" borderId="0" xfId="4300" applyFont="1" applyAlignment="1">
      <alignment horizontal="center" vertical="center"/>
    </xf>
    <xf numFmtId="15" fontId="104" fillId="0" borderId="0" xfId="4300" applyNumberFormat="1" applyFont="1" applyAlignment="1">
      <alignment horizontal="center" vertical="center"/>
    </xf>
    <xf numFmtId="0" fontId="52" fillId="0" borderId="0" xfId="4300" applyAlignment="1">
      <alignment horizontal="center"/>
    </xf>
    <xf numFmtId="0" fontId="106" fillId="0" borderId="0" xfId="4300" applyFont="1" applyAlignment="1">
      <alignment horizontal="justify" vertical="center"/>
    </xf>
    <xf numFmtId="0" fontId="106" fillId="0" borderId="0" xfId="4300" applyFont="1" applyAlignment="1">
      <alignment horizontal="center" vertical="center"/>
    </xf>
    <xf numFmtId="170" fontId="106" fillId="0" borderId="0" xfId="4300" applyNumberFormat="1" applyFont="1" applyAlignment="1">
      <alignment horizontal="justify" vertical="center"/>
    </xf>
    <xf numFmtId="0" fontId="89" fillId="0" borderId="0" xfId="4300" applyFont="1" applyFill="1" applyAlignment="1">
      <alignment vertical="center"/>
    </xf>
    <xf numFmtId="0" fontId="59" fillId="0" borderId="0" xfId="4300" applyFont="1" applyFill="1" applyAlignment="1">
      <alignment vertical="center"/>
    </xf>
    <xf numFmtId="0" fontId="104" fillId="3" borderId="61" xfId="4300" applyFont="1" applyFill="1" applyBorder="1" applyAlignment="1">
      <alignment vertical="center"/>
    </xf>
    <xf numFmtId="0" fontId="104" fillId="3" borderId="65" xfId="4300" applyFont="1" applyFill="1" applyBorder="1" applyAlignment="1">
      <alignment horizontal="center" vertical="center"/>
    </xf>
    <xf numFmtId="3" fontId="104" fillId="3" borderId="3" xfId="4300" applyNumberFormat="1" applyFont="1" applyFill="1" applyBorder="1" applyAlignment="1">
      <alignment horizontal="center" vertical="center" wrapText="1"/>
    </xf>
    <xf numFmtId="3" fontId="104" fillId="3" borderId="3" xfId="4300" applyNumberFormat="1" applyFont="1" applyFill="1" applyBorder="1" applyAlignment="1">
      <alignment horizontal="center" vertical="center"/>
    </xf>
    <xf numFmtId="0" fontId="94" fillId="0" borderId="0" xfId="4300" applyFont="1" applyFill="1" applyAlignment="1">
      <alignment vertical="center"/>
    </xf>
    <xf numFmtId="5" fontId="94" fillId="0" borderId="0" xfId="4300" applyNumberFormat="1" applyFont="1" applyFill="1" applyBorder="1" applyAlignment="1">
      <alignment vertical="center"/>
    </xf>
    <xf numFmtId="42" fontId="94" fillId="0" borderId="0" xfId="4300" applyNumberFormat="1" applyFont="1" applyFill="1" applyBorder="1" applyAlignment="1">
      <alignment vertical="center"/>
    </xf>
    <xf numFmtId="5" fontId="103" fillId="0" borderId="0" xfId="4300" applyNumberFormat="1" applyFont="1" applyFill="1" applyBorder="1" applyAlignment="1">
      <alignment vertical="center"/>
    </xf>
    <xf numFmtId="164" fontId="94" fillId="0" borderId="0" xfId="4300" applyNumberFormat="1" applyFont="1" applyFill="1" applyBorder="1" applyAlignment="1">
      <alignment vertical="center"/>
    </xf>
    <xf numFmtId="37" fontId="94" fillId="0" borderId="0" xfId="4300" applyNumberFormat="1" applyFont="1" applyFill="1" applyBorder="1" applyAlignment="1">
      <alignment vertical="center"/>
    </xf>
    <xf numFmtId="37" fontId="103" fillId="0" borderId="0" xfId="4300" applyNumberFormat="1" applyFont="1" applyFill="1" applyBorder="1" applyAlignment="1">
      <alignment vertical="center"/>
    </xf>
    <xf numFmtId="164" fontId="103" fillId="0" borderId="0" xfId="4300" applyNumberFormat="1" applyFont="1" applyFill="1" applyBorder="1" applyAlignment="1">
      <alignment vertical="center"/>
    </xf>
    <xf numFmtId="0" fontId="94" fillId="0" borderId="0" xfId="4300" applyFont="1" applyFill="1" applyBorder="1" applyAlignment="1">
      <alignment vertical="center"/>
    </xf>
    <xf numFmtId="3" fontId="94" fillId="0" borderId="0" xfId="4300" applyNumberFormat="1" applyFont="1" applyFill="1" applyBorder="1" applyAlignment="1">
      <alignment vertical="center"/>
    </xf>
    <xf numFmtId="0" fontId="59" fillId="0" borderId="0" xfId="4300" applyFont="1" applyFill="1" applyBorder="1" applyAlignment="1">
      <alignment vertical="center"/>
    </xf>
    <xf numFmtId="3" fontId="59" fillId="0" borderId="0" xfId="4300" applyNumberFormat="1" applyFont="1" applyFill="1" applyBorder="1" applyAlignment="1">
      <alignment vertical="center"/>
    </xf>
    <xf numFmtId="3" fontId="59" fillId="0" borderId="0" xfId="4300" applyNumberFormat="1" applyFont="1" applyFill="1" applyBorder="1" applyAlignment="1">
      <alignment horizontal="left" vertical="center"/>
    </xf>
    <xf numFmtId="0" fontId="104" fillId="0" borderId="0" xfId="4300" applyFont="1" applyFill="1" applyAlignment="1">
      <alignment vertical="center"/>
    </xf>
    <xf numFmtId="0" fontId="106" fillId="0" borderId="0" xfId="4300" applyFont="1" applyFill="1" applyAlignment="1">
      <alignment vertical="center"/>
    </xf>
    <xf numFmtId="0" fontId="106" fillId="0" borderId="0" xfId="4300" applyFont="1" applyFill="1" applyAlignment="1">
      <alignment vertical="top" wrapText="1"/>
    </xf>
    <xf numFmtId="3" fontId="59" fillId="0" borderId="0" xfId="4300" applyNumberFormat="1" applyFont="1" applyFill="1" applyAlignment="1">
      <alignment horizontal="left" vertical="center"/>
    </xf>
    <xf numFmtId="3" fontId="59" fillId="0" borderId="0" xfId="4300" applyNumberFormat="1" applyFont="1" applyFill="1" applyAlignment="1">
      <alignment vertical="center"/>
    </xf>
    <xf numFmtId="3" fontId="106" fillId="0" borderId="0" xfId="4300" applyNumberFormat="1" applyFont="1" applyFill="1" applyAlignment="1">
      <alignment vertical="center"/>
    </xf>
    <xf numFmtId="3" fontId="106" fillId="0" borderId="0" xfId="4300" applyNumberFormat="1" applyFont="1" applyFill="1" applyAlignment="1">
      <alignment horizontal="left" vertical="center"/>
    </xf>
    <xf numFmtId="3" fontId="94" fillId="0" borderId="0" xfId="4300" applyNumberFormat="1" applyFont="1" applyFill="1" applyAlignment="1">
      <alignment vertical="center"/>
    </xf>
    <xf numFmtId="3" fontId="94" fillId="0" borderId="0" xfId="4300" applyNumberFormat="1" applyFont="1" applyFill="1" applyAlignment="1">
      <alignment horizontal="left" vertical="center"/>
    </xf>
    <xf numFmtId="0" fontId="52" fillId="0" borderId="0" xfId="4300" applyFont="1" applyFill="1" applyAlignment="1">
      <alignment vertical="center"/>
    </xf>
    <xf numFmtId="3" fontId="52" fillId="0" borderId="0" xfId="4300" applyNumberFormat="1" applyFont="1" applyFill="1" applyAlignment="1">
      <alignment vertical="center"/>
    </xf>
    <xf numFmtId="3" fontId="52" fillId="0" borderId="0" xfId="4300" applyNumberFormat="1" applyFont="1" applyFill="1" applyAlignment="1">
      <alignment horizontal="left" vertical="center"/>
    </xf>
    <xf numFmtId="172" fontId="106" fillId="0" borderId="0" xfId="0" applyNumberFormat="1" applyFont="1" applyFill="1"/>
    <xf numFmtId="44" fontId="106" fillId="0" borderId="0" xfId="0" applyNumberFormat="1" applyFont="1" applyFill="1"/>
    <xf numFmtId="0" fontId="104" fillId="0" borderId="0" xfId="4300" applyFont="1" applyBorder="1" applyAlignment="1">
      <alignment horizontal="center"/>
    </xf>
    <xf numFmtId="0" fontId="106" fillId="0" borderId="0" xfId="4300" applyFont="1" applyFill="1" applyBorder="1" applyAlignment="1">
      <alignment vertical="center" wrapText="1"/>
    </xf>
    <xf numFmtId="41" fontId="106" fillId="0" borderId="6" xfId="4300" applyNumberFormat="1" applyFont="1" applyFill="1" applyBorder="1"/>
    <xf numFmtId="41" fontId="106" fillId="0" borderId="74" xfId="4300" applyNumberFormat="1" applyFont="1" applyFill="1" applyBorder="1"/>
    <xf numFmtId="165" fontId="106" fillId="0" borderId="0" xfId="16" applyNumberFormat="1" applyFont="1" applyFill="1" applyAlignment="1"/>
    <xf numFmtId="165" fontId="106" fillId="0" borderId="0" xfId="1" applyNumberFormat="1" applyFont="1" applyFill="1" applyBorder="1" applyAlignment="1">
      <alignment horizontal="left" vertical="center"/>
    </xf>
    <xf numFmtId="0" fontId="109" fillId="0" borderId="0" xfId="12" applyFont="1" applyAlignment="1">
      <alignment horizontal="left"/>
    </xf>
    <xf numFmtId="165" fontId="106" fillId="0" borderId="0" xfId="16" applyNumberFormat="1" applyFont="1" applyAlignment="1"/>
    <xf numFmtId="165" fontId="0" fillId="0" borderId="0" xfId="0" applyNumberFormat="1" applyFont="1"/>
    <xf numFmtId="38" fontId="14" fillId="0" borderId="75" xfId="50983" applyNumberFormat="1" applyBorder="1"/>
    <xf numFmtId="0" fontId="93" fillId="0" borderId="0" xfId="0" applyFont="1" applyFill="1" applyAlignment="1">
      <alignment vertical="center"/>
    </xf>
    <xf numFmtId="42" fontId="106" fillId="0" borderId="3" xfId="1" applyNumberFormat="1" applyFont="1" applyFill="1" applyBorder="1" applyAlignment="1">
      <alignment horizontal="center" vertical="center"/>
    </xf>
    <xf numFmtId="42" fontId="106" fillId="0" borderId="39" xfId="1" applyNumberFormat="1" applyFont="1" applyFill="1" applyBorder="1" applyAlignment="1">
      <alignment horizontal="center" vertical="center"/>
    </xf>
    <xf numFmtId="42" fontId="94" fillId="0" borderId="0" xfId="0" applyNumberFormat="1" applyFont="1" applyFill="1"/>
    <xf numFmtId="43" fontId="94" fillId="0" borderId="0" xfId="1" applyFont="1" applyFill="1" applyBorder="1" applyAlignment="1">
      <alignment vertical="center"/>
    </xf>
    <xf numFmtId="0" fontId="106" fillId="0" borderId="0" xfId="12" applyFont="1"/>
    <xf numFmtId="0" fontId="106" fillId="0" borderId="0" xfId="51005" applyFont="1"/>
    <xf numFmtId="0" fontId="112" fillId="0" borderId="0" xfId="51005" applyFont="1" applyAlignment="1">
      <alignment horizontal="center"/>
    </xf>
    <xf numFmtId="0" fontId="117" fillId="0" borderId="0" xfId="51005" applyFont="1" applyAlignment="1">
      <alignment horizontal="center"/>
    </xf>
    <xf numFmtId="0" fontId="104" fillId="3" borderId="3" xfId="51005" applyFont="1" applyFill="1" applyBorder="1" applyAlignment="1">
      <alignment horizontal="center" wrapText="1"/>
    </xf>
    <xf numFmtId="0" fontId="104" fillId="3" borderId="5" xfId="51005" applyFont="1" applyFill="1" applyBorder="1" applyAlignment="1">
      <alignment horizontal="center" wrapText="1"/>
    </xf>
    <xf numFmtId="0" fontId="106" fillId="0" borderId="0" xfId="51005" applyFont="1" applyAlignment="1">
      <alignment wrapText="1"/>
    </xf>
    <xf numFmtId="0" fontId="106" fillId="0" borderId="6" xfId="51005" applyFont="1" applyBorder="1"/>
    <xf numFmtId="0" fontId="106" fillId="0" borderId="2" xfId="51005" applyFont="1" applyBorder="1"/>
    <xf numFmtId="0" fontId="106" fillId="0" borderId="6" xfId="51005" applyFont="1" applyBorder="1" applyAlignment="1">
      <alignment shrinkToFit="1"/>
    </xf>
    <xf numFmtId="0" fontId="106" fillId="0" borderId="2" xfId="51005" applyFont="1" applyFill="1" applyBorder="1" applyAlignment="1">
      <alignment shrinkToFit="1"/>
    </xf>
    <xf numFmtId="0" fontId="106" fillId="0" borderId="0" xfId="51005" applyFont="1" applyBorder="1"/>
    <xf numFmtId="3" fontId="106" fillId="0" borderId="0" xfId="51005" applyNumberFormat="1" applyFont="1" applyBorder="1"/>
    <xf numFmtId="0" fontId="104" fillId="0" borderId="0" xfId="51005" applyFont="1" applyBorder="1"/>
    <xf numFmtId="3" fontId="104" fillId="0" borderId="0" xfId="51005" applyNumberFormat="1" applyFont="1" applyBorder="1"/>
    <xf numFmtId="0" fontId="104" fillId="0" borderId="0" xfId="51005" applyFont="1"/>
    <xf numFmtId="0" fontId="106" fillId="0" borderId="60" xfId="51005" applyFont="1" applyBorder="1" applyAlignment="1">
      <alignment shrinkToFit="1"/>
    </xf>
    <xf numFmtId="0" fontId="106" fillId="0" borderId="61" xfId="51005" applyFont="1" applyFill="1" applyBorder="1" applyAlignment="1">
      <alignment shrinkToFit="1"/>
    </xf>
    <xf numFmtId="0" fontId="107" fillId="0" borderId="0" xfId="51005" applyFont="1" applyBorder="1"/>
    <xf numFmtId="0" fontId="107" fillId="0" borderId="0" xfId="51005" applyFont="1" applyBorder="1" applyAlignment="1">
      <alignment horizontal="right"/>
    </xf>
    <xf numFmtId="0" fontId="107" fillId="0" borderId="0" xfId="51005" applyFont="1"/>
    <xf numFmtId="0" fontId="107" fillId="0" borderId="0" xfId="51005" applyFont="1" applyFill="1" applyBorder="1"/>
    <xf numFmtId="0" fontId="128" fillId="0" borderId="0" xfId="51005"/>
    <xf numFmtId="0" fontId="128" fillId="0" borderId="0" xfId="51005" applyBorder="1"/>
    <xf numFmtId="0" fontId="106" fillId="0" borderId="0" xfId="51005" applyFont="1" applyBorder="1" applyAlignment="1">
      <alignment shrinkToFit="1"/>
    </xf>
    <xf numFmtId="0" fontId="107" fillId="0" borderId="0" xfId="51005" applyFont="1" applyBorder="1" applyAlignment="1">
      <alignment shrinkToFit="1"/>
    </xf>
    <xf numFmtId="0" fontId="128" fillId="0" borderId="0" xfId="51005" applyFill="1"/>
    <xf numFmtId="0" fontId="104" fillId="0" borderId="0" xfId="51005" applyFont="1" applyAlignment="1">
      <alignment horizontal="center"/>
    </xf>
    <xf numFmtId="167" fontId="104" fillId="0" borderId="0" xfId="16" applyNumberFormat="1" applyFont="1" applyFill="1" applyBorder="1" applyAlignment="1">
      <alignment horizontal="center"/>
    </xf>
    <xf numFmtId="167" fontId="106" fillId="0" borderId="7" xfId="16" applyNumberFormat="1" applyFont="1" applyFill="1" applyBorder="1"/>
    <xf numFmtId="167" fontId="106" fillId="0" borderId="7" xfId="50934" applyNumberFormat="1" applyFont="1" applyFill="1" applyBorder="1"/>
    <xf numFmtId="173" fontId="109" fillId="0" borderId="6" xfId="16" applyNumberFormat="1" applyFont="1" applyFill="1" applyBorder="1" applyAlignment="1">
      <alignment horizontal="center"/>
    </xf>
    <xf numFmtId="167" fontId="106" fillId="0" borderId="6" xfId="16" applyNumberFormat="1" applyFont="1" applyFill="1" applyBorder="1"/>
    <xf numFmtId="167" fontId="106" fillId="0" borderId="0" xfId="16" applyNumberFormat="1" applyFont="1" applyFill="1"/>
    <xf numFmtId="167" fontId="104" fillId="0" borderId="3" xfId="16" applyNumberFormat="1" applyFont="1" applyFill="1" applyBorder="1"/>
    <xf numFmtId="173" fontId="109" fillId="0" borderId="3" xfId="16" applyNumberFormat="1" applyFont="1" applyFill="1" applyBorder="1" applyAlignment="1">
      <alignment horizontal="center"/>
    </xf>
    <xf numFmtId="167" fontId="106" fillId="0" borderId="6" xfId="50934" applyNumberFormat="1" applyFont="1" applyFill="1" applyBorder="1"/>
    <xf numFmtId="167" fontId="106" fillId="0" borderId="0" xfId="16" applyNumberFormat="1" applyFont="1" applyFill="1" applyBorder="1"/>
    <xf numFmtId="0" fontId="106" fillId="0" borderId="0" xfId="12" applyFont="1" applyFill="1" applyBorder="1"/>
    <xf numFmtId="167" fontId="106" fillId="0" borderId="0" xfId="16" applyNumberFormat="1" applyFont="1" applyBorder="1"/>
    <xf numFmtId="167" fontId="104" fillId="0" borderId="3" xfId="16" applyNumberFormat="1" applyFont="1" applyFill="1" applyBorder="1" applyAlignment="1"/>
    <xf numFmtId="173" fontId="109" fillId="0" borderId="7" xfId="16" applyNumberFormat="1" applyFont="1" applyFill="1" applyBorder="1" applyAlignment="1">
      <alignment horizontal="center"/>
    </xf>
    <xf numFmtId="164" fontId="104" fillId="0" borderId="0" xfId="12" applyNumberFormat="1" applyFont="1" applyFill="1"/>
    <xf numFmtId="43" fontId="106" fillId="0" borderId="0" xfId="12" applyNumberFormat="1" applyFont="1" applyFill="1"/>
    <xf numFmtId="167" fontId="129" fillId="0" borderId="0" xfId="16" applyNumberFormat="1" applyFont="1"/>
    <xf numFmtId="167" fontId="107" fillId="0" borderId="0" xfId="12" applyNumberFormat="1" applyFont="1" applyFill="1"/>
    <xf numFmtId="0" fontId="106" fillId="0" borderId="0" xfId="51008" applyFont="1" applyFill="1" applyAlignment="1">
      <alignment vertical="center"/>
    </xf>
    <xf numFmtId="0" fontId="52" fillId="0" borderId="0" xfId="4300" applyBorder="1"/>
    <xf numFmtId="0" fontId="124" fillId="0" borderId="0" xfId="51009" applyFont="1"/>
    <xf numFmtId="0" fontId="1" fillId="0" borderId="0" xfId="51009"/>
    <xf numFmtId="1" fontId="1" fillId="0" borderId="0" xfId="51009" applyNumberFormat="1"/>
    <xf numFmtId="165" fontId="0" fillId="0" borderId="0" xfId="51010" applyNumberFormat="1" applyFont="1"/>
    <xf numFmtId="165" fontId="1" fillId="0" borderId="0" xfId="51009" applyNumberFormat="1"/>
    <xf numFmtId="1" fontId="124" fillId="0" borderId="0" xfId="51009" applyNumberFormat="1" applyFont="1"/>
    <xf numFmtId="38" fontId="1" fillId="0" borderId="0" xfId="51009" applyNumberFormat="1" applyFill="1"/>
    <xf numFmtId="43" fontId="0" fillId="0" borderId="0" xfId="51010" applyFont="1"/>
    <xf numFmtId="0" fontId="123" fillId="30" borderId="69" xfId="51009" applyFont="1" applyFill="1" applyBorder="1" applyAlignment="1">
      <alignment horizontal="centerContinuous" wrapText="1"/>
    </xf>
    <xf numFmtId="0" fontId="123" fillId="30" borderId="45" xfId="51009" applyFont="1" applyFill="1" applyBorder="1" applyAlignment="1">
      <alignment horizontal="centerContinuous" wrapText="1"/>
    </xf>
    <xf numFmtId="0" fontId="123" fillId="30" borderId="70" xfId="51009" applyFont="1" applyFill="1" applyBorder="1" applyAlignment="1">
      <alignment horizontal="centerContinuous" wrapText="1"/>
    </xf>
    <xf numFmtId="0" fontId="123" fillId="30" borderId="69" xfId="51009" applyFont="1" applyFill="1" applyBorder="1" applyAlignment="1">
      <alignment horizontal="centerContinuous"/>
    </xf>
    <xf numFmtId="0" fontId="123" fillId="30" borderId="45" xfId="51009" applyFont="1" applyFill="1" applyBorder="1" applyAlignment="1">
      <alignment horizontal="centerContinuous"/>
    </xf>
    <xf numFmtId="0" fontId="123" fillId="30" borderId="70" xfId="51009" applyFont="1" applyFill="1" applyBorder="1" applyAlignment="1">
      <alignment horizontal="centerContinuous"/>
    </xf>
    <xf numFmtId="165" fontId="124" fillId="0" borderId="0" xfId="51010" applyNumberFormat="1" applyFont="1"/>
    <xf numFmtId="0" fontId="124" fillId="0" borderId="0" xfId="51009" applyFont="1" applyFill="1" applyBorder="1"/>
    <xf numFmtId="0" fontId="124" fillId="29" borderId="45" xfId="51009" applyFont="1" applyFill="1" applyBorder="1"/>
    <xf numFmtId="0" fontId="124" fillId="29" borderId="70" xfId="51009" applyFont="1" applyFill="1" applyBorder="1"/>
    <xf numFmtId="165" fontId="124" fillId="29" borderId="30" xfId="51010" applyNumberFormat="1" applyFont="1" applyFill="1" applyBorder="1"/>
    <xf numFmtId="165" fontId="124" fillId="29" borderId="0" xfId="51010" applyNumberFormat="1" applyFont="1" applyFill="1" applyBorder="1"/>
    <xf numFmtId="0" fontId="123" fillId="30" borderId="31" xfId="51009" applyFont="1" applyFill="1" applyBorder="1" applyAlignment="1">
      <alignment horizontal="center"/>
    </xf>
    <xf numFmtId="0" fontId="123" fillId="30" borderId="0" xfId="51009" applyFont="1" applyFill="1" applyBorder="1" applyAlignment="1">
      <alignment horizontal="center"/>
    </xf>
    <xf numFmtId="0" fontId="124" fillId="0" borderId="30" xfId="51009" applyFont="1" applyBorder="1"/>
    <xf numFmtId="0" fontId="124" fillId="0" borderId="0" xfId="51009" applyFont="1" applyBorder="1"/>
    <xf numFmtId="0" fontId="124" fillId="0" borderId="31" xfId="51009" applyFont="1" applyBorder="1"/>
    <xf numFmtId="165" fontId="0" fillId="0" borderId="30" xfId="51010" applyNumberFormat="1" applyFont="1" applyBorder="1"/>
    <xf numFmtId="165" fontId="0" fillId="0" borderId="0" xfId="51010" applyNumberFormat="1" applyFont="1" applyBorder="1"/>
    <xf numFmtId="165" fontId="124" fillId="31" borderId="31" xfId="51010" applyNumberFormat="1" applyFont="1" applyFill="1" applyBorder="1"/>
    <xf numFmtId="165" fontId="124" fillId="31" borderId="0" xfId="51010" applyNumberFormat="1" applyFont="1" applyFill="1" applyBorder="1"/>
    <xf numFmtId="165" fontId="0" fillId="0" borderId="0" xfId="51010" applyNumberFormat="1" applyFont="1" applyFill="1" applyBorder="1"/>
    <xf numFmtId="3" fontId="126" fillId="0" borderId="30" xfId="51010" applyNumberFormat="1" applyFont="1" applyBorder="1"/>
    <xf numFmtId="3" fontId="126" fillId="0" borderId="0" xfId="51010" applyNumberFormat="1" applyFont="1" applyBorder="1"/>
    <xf numFmtId="3" fontId="124" fillId="31" borderId="31" xfId="51010" applyNumberFormat="1" applyFont="1" applyFill="1" applyBorder="1"/>
    <xf numFmtId="0" fontId="124" fillId="0" borderId="30" xfId="51009" applyFont="1" applyFill="1" applyBorder="1"/>
    <xf numFmtId="0" fontId="124" fillId="0" borderId="31" xfId="51009" applyFont="1" applyFill="1" applyBorder="1"/>
    <xf numFmtId="165" fontId="0" fillId="0" borderId="30" xfId="51010" applyNumberFormat="1" applyFont="1" applyFill="1" applyBorder="1"/>
    <xf numFmtId="3" fontId="126" fillId="0" borderId="0" xfId="51010" applyNumberFormat="1" applyFont="1" applyFill="1" applyBorder="1"/>
    <xf numFmtId="0" fontId="1" fillId="0" borderId="0" xfId="51009" applyFill="1"/>
    <xf numFmtId="0" fontId="124" fillId="0" borderId="66" xfId="51009" applyFont="1" applyBorder="1"/>
    <xf numFmtId="0" fontId="124" fillId="32" borderId="62" xfId="51009" applyFont="1" applyFill="1" applyBorder="1"/>
    <xf numFmtId="0" fontId="124" fillId="32" borderId="67" xfId="51009" applyFont="1" applyFill="1" applyBorder="1"/>
    <xf numFmtId="165" fontId="124" fillId="32" borderId="66" xfId="51010" applyNumberFormat="1" applyFont="1" applyFill="1" applyBorder="1"/>
    <xf numFmtId="165" fontId="124" fillId="32" borderId="62" xfId="51010" applyNumberFormat="1" applyFont="1" applyFill="1" applyBorder="1"/>
    <xf numFmtId="165" fontId="124" fillId="32" borderId="67" xfId="51010" applyNumberFormat="1" applyFont="1" applyFill="1" applyBorder="1"/>
    <xf numFmtId="165" fontId="124" fillId="31" borderId="67" xfId="51010" applyNumberFormat="1" applyFont="1" applyFill="1" applyBorder="1"/>
    <xf numFmtId="3" fontId="125" fillId="32" borderId="66" xfId="51010" applyNumberFormat="1" applyFont="1" applyFill="1" applyBorder="1"/>
    <xf numFmtId="3" fontId="125" fillId="32" borderId="62" xfId="51010" applyNumberFormat="1" applyFont="1" applyFill="1" applyBorder="1"/>
    <xf numFmtId="165" fontId="124" fillId="0" borderId="0" xfId="51010" applyNumberFormat="1" applyFont="1" applyFill="1" applyBorder="1"/>
    <xf numFmtId="165" fontId="124" fillId="0" borderId="45" xfId="51010" applyNumberFormat="1" applyFont="1" applyFill="1" applyBorder="1"/>
    <xf numFmtId="165" fontId="125" fillId="0" borderId="0" xfId="51010" applyNumberFormat="1" applyFont="1" applyFill="1" applyBorder="1"/>
    <xf numFmtId="1" fontId="124" fillId="0" borderId="0" xfId="51009" applyNumberFormat="1" applyFont="1" applyFill="1" applyBorder="1"/>
    <xf numFmtId="165" fontId="124" fillId="0" borderId="0" xfId="51009" applyNumberFormat="1" applyFont="1" applyFill="1" applyBorder="1"/>
    <xf numFmtId="165" fontId="124" fillId="0" borderId="31" xfId="51009" applyNumberFormat="1" applyFont="1" applyFill="1" applyBorder="1"/>
    <xf numFmtId="0" fontId="125" fillId="0" borderId="0" xfId="51009" applyFont="1" applyFill="1" applyBorder="1"/>
    <xf numFmtId="0" fontId="125" fillId="30" borderId="45" xfId="51009" applyFont="1" applyFill="1" applyBorder="1" applyAlignment="1">
      <alignment horizontal="centerContinuous"/>
    </xf>
    <xf numFmtId="0" fontId="125" fillId="30" borderId="70" xfId="51009" applyFont="1" applyFill="1" applyBorder="1" applyAlignment="1">
      <alignment horizontal="centerContinuous"/>
    </xf>
    <xf numFmtId="0" fontId="124" fillId="29" borderId="69" xfId="51009" applyFont="1" applyFill="1" applyBorder="1"/>
    <xf numFmtId="165" fontId="125" fillId="29" borderId="30" xfId="51010" applyNumberFormat="1" applyFont="1" applyFill="1" applyBorder="1"/>
    <xf numFmtId="165" fontId="125" fillId="29" borderId="0" xfId="51010" applyNumberFormat="1" applyFont="1" applyFill="1" applyBorder="1"/>
    <xf numFmtId="4" fontId="126" fillId="0" borderId="0" xfId="51010" applyNumberFormat="1" applyFont="1" applyBorder="1"/>
    <xf numFmtId="0" fontId="124" fillId="31" borderId="30" xfId="51009" applyFont="1" applyFill="1" applyBorder="1"/>
    <xf numFmtId="0" fontId="124" fillId="31" borderId="0" xfId="51009" applyFont="1" applyFill="1" applyBorder="1"/>
    <xf numFmtId="0" fontId="124" fillId="31" borderId="31" xfId="51009" applyFont="1" applyFill="1" applyBorder="1"/>
    <xf numFmtId="165" fontId="124" fillId="31" borderId="30" xfId="51010" applyNumberFormat="1" applyFont="1" applyFill="1" applyBorder="1"/>
    <xf numFmtId="165" fontId="125" fillId="31" borderId="30" xfId="51010" applyNumberFormat="1" applyFont="1" applyFill="1" applyBorder="1"/>
    <xf numFmtId="165" fontId="125" fillId="31" borderId="0" xfId="51010" applyNumberFormat="1" applyFont="1" applyFill="1" applyBorder="1"/>
    <xf numFmtId="165" fontId="125" fillId="31" borderId="31" xfId="51010" applyNumberFormat="1" applyFont="1" applyFill="1" applyBorder="1"/>
    <xf numFmtId="165" fontId="1" fillId="0" borderId="0" xfId="51009" applyNumberFormat="1" applyFont="1"/>
    <xf numFmtId="0" fontId="1" fillId="0" borderId="0" xfId="51009" applyFont="1"/>
    <xf numFmtId="0" fontId="124" fillId="0" borderId="0" xfId="51009" applyFont="1" applyFill="1" applyBorder="1" applyAlignment="1">
      <alignment horizontal="left"/>
    </xf>
    <xf numFmtId="165" fontId="124" fillId="0" borderId="30" xfId="51010" applyNumberFormat="1" applyFont="1" applyBorder="1"/>
    <xf numFmtId="165" fontId="124" fillId="0" borderId="0" xfId="51010" applyNumberFormat="1" applyFont="1" applyBorder="1"/>
    <xf numFmtId="165" fontId="1" fillId="0" borderId="0" xfId="51010" applyNumberFormat="1" applyFont="1" applyBorder="1"/>
    <xf numFmtId="165" fontId="124" fillId="0" borderId="0" xfId="51009" applyNumberFormat="1" applyFont="1"/>
    <xf numFmtId="0" fontId="124" fillId="32" borderId="66" xfId="51009" applyFont="1" applyFill="1" applyBorder="1"/>
    <xf numFmtId="165" fontId="124" fillId="32" borderId="30" xfId="51010" applyNumberFormat="1" applyFont="1" applyFill="1" applyBorder="1"/>
    <xf numFmtId="165" fontId="124" fillId="32" borderId="0" xfId="51010" applyNumberFormat="1" applyFont="1" applyFill="1" applyBorder="1"/>
    <xf numFmtId="165" fontId="124" fillId="32" borderId="31" xfId="51010" applyNumberFormat="1" applyFont="1" applyFill="1" applyBorder="1"/>
    <xf numFmtId="0" fontId="1" fillId="0" borderId="69" xfId="51009" applyBorder="1"/>
    <xf numFmtId="0" fontId="1" fillId="0" borderId="45" xfId="51009" applyBorder="1"/>
    <xf numFmtId="0" fontId="124" fillId="31" borderId="70" xfId="51009" applyFont="1" applyFill="1" applyBorder="1"/>
    <xf numFmtId="1" fontId="1" fillId="0" borderId="45" xfId="51009" applyNumberFormat="1" applyBorder="1"/>
    <xf numFmtId="0" fontId="124" fillId="31" borderId="45" xfId="51009" applyFont="1" applyFill="1" applyBorder="1"/>
    <xf numFmtId="0" fontId="1" fillId="0" borderId="45" xfId="51009" applyFill="1" applyBorder="1"/>
    <xf numFmtId="0" fontId="124" fillId="0" borderId="70" xfId="51009" applyFont="1" applyFill="1" applyBorder="1"/>
    <xf numFmtId="165" fontId="124" fillId="33" borderId="0" xfId="51010" applyNumberFormat="1" applyFont="1" applyFill="1" applyBorder="1"/>
    <xf numFmtId="165" fontId="124" fillId="0" borderId="0" xfId="51010" applyNumberFormat="1" applyFont="1" applyFill="1" applyBorder="1" applyAlignment="1">
      <alignment wrapText="1"/>
    </xf>
    <xf numFmtId="165" fontId="124" fillId="0" borderId="31" xfId="51010" applyNumberFormat="1" applyFont="1" applyFill="1" applyBorder="1"/>
    <xf numFmtId="166" fontId="124" fillId="0" borderId="30" xfId="51010" applyNumberFormat="1" applyFont="1" applyBorder="1"/>
    <xf numFmtId="166" fontId="124" fillId="0" borderId="0" xfId="51010" applyNumberFormat="1" applyFont="1" applyBorder="1"/>
    <xf numFmtId="166" fontId="124" fillId="31" borderId="31" xfId="51010" applyNumberFormat="1" applyFont="1" applyFill="1" applyBorder="1"/>
    <xf numFmtId="166" fontId="124" fillId="31" borderId="0" xfId="51010" applyNumberFormat="1" applyFont="1" applyFill="1" applyBorder="1"/>
    <xf numFmtId="166" fontId="124" fillId="0" borderId="0" xfId="51010" applyNumberFormat="1" applyFont="1" applyFill="1" applyBorder="1"/>
    <xf numFmtId="166" fontId="124" fillId="0" borderId="31" xfId="51010" applyNumberFormat="1" applyFont="1" applyFill="1" applyBorder="1"/>
    <xf numFmtId="166" fontId="124" fillId="0" borderId="0" xfId="51010" applyNumberFormat="1" applyFont="1"/>
    <xf numFmtId="166" fontId="124" fillId="0" borderId="66" xfId="51010" applyNumberFormat="1" applyFont="1" applyBorder="1"/>
    <xf numFmtId="166" fontId="124" fillId="0" borderId="62" xfId="51010" applyNumberFormat="1" applyFont="1" applyBorder="1"/>
    <xf numFmtId="166" fontId="124" fillId="31" borderId="67" xfId="51010" applyNumberFormat="1" applyFont="1" applyFill="1" applyBorder="1"/>
    <xf numFmtId="166" fontId="124" fillId="31" borderId="62" xfId="51010" applyNumberFormat="1" applyFont="1" applyFill="1" applyBorder="1"/>
    <xf numFmtId="166" fontId="124" fillId="0" borderId="62" xfId="51010" applyNumberFormat="1" applyFont="1" applyFill="1" applyBorder="1"/>
    <xf numFmtId="166" fontId="124" fillId="0" borderId="67" xfId="51010" applyNumberFormat="1" applyFont="1" applyFill="1" applyBorder="1"/>
    <xf numFmtId="174" fontId="106" fillId="0" borderId="0" xfId="0" applyNumberFormat="1" applyFont="1" applyFill="1"/>
    <xf numFmtId="0" fontId="109" fillId="0" borderId="0" xfId="0" applyFont="1" applyFill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4" fillId="0" borderId="48" xfId="4300" applyFont="1" applyFill="1" applyBorder="1" applyAlignment="1">
      <alignment horizontal="center"/>
    </xf>
    <xf numFmtId="0" fontId="104" fillId="0" borderId="49" xfId="4300" applyFont="1" applyFill="1" applyBorder="1" applyAlignment="1">
      <alignment horizontal="center"/>
    </xf>
    <xf numFmtId="0" fontId="104" fillId="0" borderId="50" xfId="4300" applyFont="1" applyFill="1" applyBorder="1" applyAlignment="1">
      <alignment horizontal="center" vertical="center"/>
    </xf>
    <xf numFmtId="0" fontId="104" fillId="0" borderId="51" xfId="4300" applyFont="1" applyFill="1" applyBorder="1" applyAlignment="1">
      <alignment horizontal="center" vertical="center"/>
    </xf>
    <xf numFmtId="0" fontId="109" fillId="0" borderId="0" xfId="4300" applyFont="1" applyFill="1" applyAlignment="1">
      <alignment horizontal="center" vertical="center"/>
    </xf>
    <xf numFmtId="0" fontId="104" fillId="0" borderId="0" xfId="4300" applyFont="1" applyFill="1" applyAlignment="1">
      <alignment horizontal="center" vertical="center"/>
    </xf>
    <xf numFmtId="0" fontId="104" fillId="0" borderId="0" xfId="4300" applyFont="1" applyFill="1" applyBorder="1" applyAlignment="1">
      <alignment horizontal="center" vertical="center"/>
    </xf>
    <xf numFmtId="0" fontId="104" fillId="0" borderId="0" xfId="12" applyFont="1" applyFill="1" applyAlignment="1">
      <alignment horizontal="center"/>
    </xf>
    <xf numFmtId="0" fontId="104" fillId="0" borderId="0" xfId="12" applyFont="1" applyFill="1" applyBorder="1" applyAlignment="1">
      <alignment horizontal="center"/>
    </xf>
    <xf numFmtId="0" fontId="104" fillId="0" borderId="5" xfId="12" applyFont="1" applyBorder="1" applyAlignment="1">
      <alignment horizontal="center"/>
    </xf>
    <xf numFmtId="0" fontId="104" fillId="0" borderId="10" xfId="12" applyFont="1" applyBorder="1" applyAlignment="1">
      <alignment horizontal="center"/>
    </xf>
    <xf numFmtId="0" fontId="106" fillId="5" borderId="9" xfId="0" applyFont="1" applyFill="1" applyBorder="1" applyAlignment="1">
      <alignment horizontal="center"/>
    </xf>
    <xf numFmtId="0" fontId="106" fillId="5" borderId="11" xfId="0" applyFont="1" applyFill="1" applyBorder="1" applyAlignment="1">
      <alignment horizontal="center"/>
    </xf>
    <xf numFmtId="0" fontId="104" fillId="5" borderId="5" xfId="0" applyFont="1" applyFill="1" applyBorder="1" applyAlignment="1">
      <alignment horizontal="center"/>
    </xf>
    <xf numFmtId="0" fontId="104" fillId="5" borderId="13" xfId="0" applyFont="1" applyFill="1" applyBorder="1" applyAlignment="1">
      <alignment horizontal="center"/>
    </xf>
    <xf numFmtId="0" fontId="104" fillId="0" borderId="5" xfId="10" applyFont="1" applyFill="1" applyBorder="1" applyAlignment="1">
      <alignment horizontal="right" vertical="center"/>
    </xf>
    <xf numFmtId="0" fontId="104" fillId="0" borderId="10" xfId="10" applyFont="1" applyFill="1" applyBorder="1" applyAlignment="1">
      <alignment horizontal="right" vertical="center"/>
    </xf>
    <xf numFmtId="0" fontId="109" fillId="0" borderId="5" xfId="10" applyFont="1" applyFill="1" applyBorder="1" applyAlignment="1">
      <alignment horizontal="right" vertical="center"/>
    </xf>
    <xf numFmtId="0" fontId="109" fillId="0" borderId="10" xfId="10" applyFont="1" applyFill="1" applyBorder="1" applyAlignment="1">
      <alignment horizontal="right" vertical="center"/>
    </xf>
    <xf numFmtId="0" fontId="109" fillId="0" borderId="0" xfId="50939" applyFont="1" applyAlignment="1">
      <alignment horizontal="center"/>
    </xf>
    <xf numFmtId="0" fontId="120" fillId="0" borderId="0" xfId="4300" applyFont="1" applyAlignment="1">
      <alignment horizontal="center"/>
    </xf>
    <xf numFmtId="0" fontId="104" fillId="0" borderId="0" xfId="50939" applyFont="1" applyAlignment="1">
      <alignment horizontal="center"/>
    </xf>
    <xf numFmtId="0" fontId="105" fillId="0" borderId="0" xfId="4300" applyFont="1" applyAlignment="1">
      <alignment horizontal="center"/>
    </xf>
    <xf numFmtId="170" fontId="104" fillId="0" borderId="0" xfId="50939" quotePrefix="1" applyNumberFormat="1" applyFont="1" applyAlignment="1">
      <alignment horizontal="center"/>
    </xf>
    <xf numFmtId="170" fontId="105" fillId="0" borderId="0" xfId="4300" applyNumberFormat="1" applyFont="1" applyAlignment="1">
      <alignment horizontal="center"/>
    </xf>
    <xf numFmtId="0" fontId="109" fillId="0" borderId="0" xfId="3" applyFont="1" applyFill="1" applyBorder="1" applyAlignment="1">
      <alignment horizontal="left"/>
    </xf>
    <xf numFmtId="0" fontId="107" fillId="0" borderId="0" xfId="0" applyFont="1" applyBorder="1"/>
    <xf numFmtId="0" fontId="55" fillId="0" borderId="0" xfId="0" applyFont="1" applyFill="1" applyBorder="1" applyAlignment="1">
      <alignment horizontal="center"/>
    </xf>
    <xf numFmtId="0" fontId="91" fillId="0" borderId="0" xfId="3" applyFont="1" applyFill="1" applyAlignment="1">
      <alignment horizontal="center"/>
    </xf>
    <xf numFmtId="0" fontId="55" fillId="0" borderId="0" xfId="3" applyFont="1" applyFill="1" applyAlignment="1">
      <alignment horizontal="center"/>
    </xf>
    <xf numFmtId="0" fontId="104" fillId="0" borderId="0" xfId="51005" applyFont="1" applyAlignment="1">
      <alignment horizontal="center"/>
    </xf>
    <xf numFmtId="49" fontId="104" fillId="0" borderId="0" xfId="51005" applyNumberFormat="1" applyFont="1" applyAlignment="1">
      <alignment horizontal="center"/>
    </xf>
    <xf numFmtId="0" fontId="119" fillId="0" borderId="0" xfId="51005" applyFont="1" applyAlignment="1">
      <alignment horizontal="center"/>
    </xf>
    <xf numFmtId="0" fontId="104" fillId="0" borderId="0" xfId="4300" applyFont="1" applyAlignment="1">
      <alignment horizontal="center"/>
    </xf>
    <xf numFmtId="49" fontId="104" fillId="0" borderId="0" xfId="4300" applyNumberFormat="1" applyFont="1" applyAlignment="1">
      <alignment horizontal="center"/>
    </xf>
  </cellXfs>
  <cellStyles count="5101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0"/>
    <cellStyle name="Comma 28 2" xfId="50972"/>
    <cellStyle name="Comma 29" xfId="50974"/>
    <cellStyle name="Comma 3" xfId="19"/>
    <cellStyle name="Comma 3 2" xfId="2234"/>
    <cellStyle name="Comma 30" xfId="50978"/>
    <cellStyle name="Comma 31" xfId="50980"/>
    <cellStyle name="Comma 32" xfId="50984"/>
    <cellStyle name="Comma 33" xfId="50986"/>
    <cellStyle name="Comma 34" xfId="50988"/>
    <cellStyle name="Comma 35" xfId="50991"/>
    <cellStyle name="Comma 36" xfId="50993"/>
    <cellStyle name="Comma 37" xfId="50997"/>
    <cellStyle name="Comma 38" xfId="50999"/>
    <cellStyle name="Comma 39" xfId="51002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40" xfId="51004"/>
    <cellStyle name="Comma 41" xfId="51007"/>
    <cellStyle name="Comma 42" xfId="51010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1"/>
    <cellStyle name="Normal 59" xfId="50973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60" xfId="50975"/>
    <cellStyle name="Normal 61" xfId="50976"/>
    <cellStyle name="Normal 62" xfId="50977"/>
    <cellStyle name="Normal 63" xfId="50979"/>
    <cellStyle name="Normal 64" xfId="50981"/>
    <cellStyle name="Normal 64 2" xfId="50985"/>
    <cellStyle name="Normal 64 3" xfId="50989"/>
    <cellStyle name="Normal 64 3 2" xfId="50995"/>
    <cellStyle name="Normal 64 3 2 2" xfId="51001"/>
    <cellStyle name="Normal 64 3 2 2 2" xfId="51008"/>
    <cellStyle name="Normal 65" xfId="50982"/>
    <cellStyle name="Normal 66" xfId="50987"/>
    <cellStyle name="Normal 67" xfId="50990"/>
    <cellStyle name="Normal 68" xfId="50992"/>
    <cellStyle name="Normal 69" xfId="50994"/>
    <cellStyle name="Normal 69 2" xfId="51000"/>
    <cellStyle name="Normal 7" xfId="39"/>
    <cellStyle name="Normal 7 2" xfId="8557"/>
    <cellStyle name="Normal 7 3" xfId="20379"/>
    <cellStyle name="Normal 7 4" xfId="20359"/>
    <cellStyle name="Normal 7 5" xfId="32609"/>
    <cellStyle name="Normal 70" xfId="50996"/>
    <cellStyle name="Normal 71" xfId="50998"/>
    <cellStyle name="Normal 72" xfId="51003"/>
    <cellStyle name="Normal 73" xfId="51005"/>
    <cellStyle name="Normal 74" xfId="51006"/>
    <cellStyle name="Normal 75" xfId="510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 2" xfId="50983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&amp;A/BUDGET/85th%20Legislature/2019/2019_02_Oct/Reports%20for%20Distribution/2019_02%20-%20DFPS%20Monthly%20Financial%20Report_Octo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1a"/>
      <sheetName val="Schedule 1b"/>
      <sheetName val="Schedule 2"/>
      <sheetName val="Schedule 3"/>
      <sheetName val="Schedule 4"/>
      <sheetName val="Schedule 5"/>
      <sheetName val="Schedule 6"/>
      <sheetName val="Fund 0666"/>
      <sheetName val="Fund 8093"/>
      <sheetName val="Fund 0802"/>
      <sheetName val="Schedule 8"/>
      <sheetName val="Footnotes to Schedule 7"/>
      <sheetName val="Schedule 9"/>
      <sheetName val="Schedule 10"/>
      <sheetName val="Schedule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7"/>
  <sheetViews>
    <sheetView tabSelected="1" zoomScale="70" zoomScaleNormal="70" zoomScaleSheetLayoutView="70" workbookViewId="0">
      <pane xSplit="3" ySplit="4" topLeftCell="D8" activePane="bottomRight" state="frozen"/>
      <selection activeCell="G35" sqref="G35"/>
      <selection pane="topRight" activeCell="G35" sqref="G35"/>
      <selection pane="bottomLeft" activeCell="G35" sqref="G35"/>
      <selection pane="bottomRight" activeCell="C11" sqref="C11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38" t="s">
        <v>3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115"/>
    </row>
    <row r="2" spans="1:16" s="65" customFormat="1" ht="18" customHeight="1">
      <c r="A2" s="639" t="s">
        <v>490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116"/>
    </row>
    <row r="3" spans="1:16" s="65" customFormat="1" ht="18" customHeight="1">
      <c r="A3" s="640" t="s">
        <v>586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116"/>
    </row>
    <row r="4" spans="1:16" s="69" customFormat="1" ht="31.2">
      <c r="A4" s="117"/>
      <c r="B4" s="118"/>
      <c r="C4" s="119" t="s">
        <v>197</v>
      </c>
      <c r="D4" s="119" t="s">
        <v>154</v>
      </c>
      <c r="E4" s="119" t="s">
        <v>216</v>
      </c>
      <c r="F4" s="119" t="s">
        <v>202</v>
      </c>
      <c r="G4" s="119" t="s">
        <v>153</v>
      </c>
      <c r="H4" s="119" t="s">
        <v>31</v>
      </c>
      <c r="I4" s="119" t="s">
        <v>46</v>
      </c>
      <c r="J4" s="119" t="s">
        <v>47</v>
      </c>
      <c r="K4" s="120" t="s">
        <v>32</v>
      </c>
      <c r="L4" s="120" t="s">
        <v>33</v>
      </c>
      <c r="M4" s="116"/>
    </row>
    <row r="5" spans="1:16" s="61" customFormat="1" ht="18" customHeight="1">
      <c r="A5" s="121" t="s">
        <v>22</v>
      </c>
      <c r="B5" s="122" t="s">
        <v>7</v>
      </c>
      <c r="C5" s="123">
        <v>22559807</v>
      </c>
      <c r="D5" s="123">
        <f>E5+G5</f>
        <v>-10605</v>
      </c>
      <c r="E5" s="123">
        <v>9192</v>
      </c>
      <c r="F5" s="332" t="s">
        <v>363</v>
      </c>
      <c r="G5" s="123">
        <v>-19797</v>
      </c>
      <c r="H5" s="332" t="s">
        <v>210</v>
      </c>
      <c r="I5" s="123">
        <v>22549202</v>
      </c>
      <c r="J5" s="123">
        <v>20989732.070000019</v>
      </c>
      <c r="K5" s="123">
        <v>21424376</v>
      </c>
      <c r="L5" s="123">
        <f>I5-K5</f>
        <v>1124826</v>
      </c>
      <c r="M5" s="126">
        <f>I5-C5-D5</f>
        <v>0</v>
      </c>
      <c r="O5" s="329"/>
    </row>
    <row r="6" spans="1:16" s="70" customFormat="1" ht="7.5" customHeight="1">
      <c r="A6" s="121"/>
      <c r="B6" s="122"/>
      <c r="C6" s="123"/>
      <c r="D6" s="123"/>
      <c r="E6" s="123"/>
      <c r="F6" s="332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71" customFormat="1" ht="18" customHeight="1">
      <c r="A7" s="127" t="s">
        <v>239</v>
      </c>
      <c r="B7" s="128"/>
      <c r="C7" s="129">
        <f>C5</f>
        <v>22559807</v>
      </c>
      <c r="D7" s="129">
        <f>D5</f>
        <v>-10605</v>
      </c>
      <c r="E7" s="129">
        <v>9192</v>
      </c>
      <c r="F7" s="129"/>
      <c r="G7" s="129">
        <f t="shared" ref="G7:L7" si="1">G5</f>
        <v>-19797</v>
      </c>
      <c r="H7" s="129"/>
      <c r="I7" s="129">
        <f t="shared" si="1"/>
        <v>22549202</v>
      </c>
      <c r="J7" s="129">
        <f t="shared" si="1"/>
        <v>20989732.070000019</v>
      </c>
      <c r="K7" s="129">
        <f t="shared" si="1"/>
        <v>21424376</v>
      </c>
      <c r="L7" s="129">
        <f t="shared" si="1"/>
        <v>1124826</v>
      </c>
      <c r="M7" s="126">
        <f t="shared" si="0"/>
        <v>0</v>
      </c>
      <c r="O7" s="329"/>
      <c r="P7" s="61"/>
    </row>
    <row r="8" spans="1:16" s="62" customFormat="1" ht="18" customHeight="1">
      <c r="A8" s="131" t="s">
        <v>23</v>
      </c>
      <c r="B8" s="122" t="s">
        <v>8</v>
      </c>
      <c r="C8" s="123">
        <v>754196575</v>
      </c>
      <c r="D8" s="123">
        <f>E8+G8</f>
        <v>-22911070</v>
      </c>
      <c r="E8" s="123">
        <v>-22089892</v>
      </c>
      <c r="F8" s="125" t="s">
        <v>582</v>
      </c>
      <c r="G8" s="123">
        <v>-821178</v>
      </c>
      <c r="H8" s="125" t="s">
        <v>210</v>
      </c>
      <c r="I8" s="123">
        <v>731285505</v>
      </c>
      <c r="J8" s="478">
        <v>708039005.10998487</v>
      </c>
      <c r="K8" s="123">
        <v>724404412</v>
      </c>
      <c r="L8" s="123">
        <f t="shared" ref="L8:L19" si="2">I8-K8</f>
        <v>6881093</v>
      </c>
      <c r="M8" s="126">
        <f>I8-C8-D8</f>
        <v>0</v>
      </c>
      <c r="N8" s="61"/>
      <c r="O8" s="123"/>
      <c r="P8" s="61"/>
    </row>
    <row r="9" spans="1:16" s="62" customFormat="1" ht="18" customHeight="1">
      <c r="A9" s="131" t="s">
        <v>24</v>
      </c>
      <c r="B9" s="122" t="s">
        <v>9</v>
      </c>
      <c r="C9" s="123">
        <v>48628801</v>
      </c>
      <c r="D9" s="123">
        <f>E9+G9</f>
        <v>-3973179</v>
      </c>
      <c r="E9" s="123">
        <v>-2745647</v>
      </c>
      <c r="F9" s="125" t="s">
        <v>574</v>
      </c>
      <c r="G9" s="123">
        <v>-1227532</v>
      </c>
      <c r="H9" s="125" t="s">
        <v>465</v>
      </c>
      <c r="I9" s="123">
        <v>44655622</v>
      </c>
      <c r="J9" s="123">
        <v>38969554.44999975</v>
      </c>
      <c r="K9" s="123">
        <v>40784592</v>
      </c>
      <c r="L9" s="123">
        <f>I9-K9</f>
        <v>3871030</v>
      </c>
      <c r="M9" s="126">
        <f>I9-C9-D9</f>
        <v>0</v>
      </c>
      <c r="N9" s="61"/>
      <c r="O9" s="123"/>
      <c r="P9" s="61"/>
    </row>
    <row r="10" spans="1:16" s="62" customFormat="1" ht="18" customHeight="1">
      <c r="A10" s="131" t="s">
        <v>25</v>
      </c>
      <c r="B10" s="122" t="s">
        <v>170</v>
      </c>
      <c r="C10" s="123">
        <v>71784505</v>
      </c>
      <c r="D10" s="123">
        <f t="shared" ref="D10:D19" si="3">E10+G10</f>
        <v>5000000</v>
      </c>
      <c r="E10" s="123">
        <v>5000000</v>
      </c>
      <c r="F10" s="332" t="s">
        <v>562</v>
      </c>
      <c r="G10" s="123">
        <v>0</v>
      </c>
      <c r="H10" s="124"/>
      <c r="I10" s="123">
        <v>76784505</v>
      </c>
      <c r="J10" s="123">
        <v>65945178.649999991</v>
      </c>
      <c r="K10" s="123">
        <v>73893263</v>
      </c>
      <c r="L10" s="123">
        <f t="shared" si="2"/>
        <v>2891242</v>
      </c>
      <c r="M10" s="126">
        <f>I10-C10-D10</f>
        <v>0</v>
      </c>
      <c r="N10" s="61"/>
      <c r="O10" s="123"/>
      <c r="P10" s="61"/>
    </row>
    <row r="11" spans="1:16" s="62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4625228</v>
      </c>
      <c r="F11" s="332" t="s">
        <v>561</v>
      </c>
      <c r="G11" s="123">
        <v>0</v>
      </c>
      <c r="H11" s="124"/>
      <c r="I11" s="123">
        <v>14690540</v>
      </c>
      <c r="J11" s="123">
        <v>11349146.670000002</v>
      </c>
      <c r="K11" s="123">
        <v>14690540</v>
      </c>
      <c r="L11" s="123">
        <f t="shared" si="2"/>
        <v>0</v>
      </c>
      <c r="M11" s="126">
        <f t="shared" si="0"/>
        <v>0</v>
      </c>
      <c r="N11" s="61"/>
      <c r="O11" s="123"/>
      <c r="P11" s="61"/>
    </row>
    <row r="12" spans="1:16" s="62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789937</v>
      </c>
      <c r="E12" s="123">
        <v>0</v>
      </c>
      <c r="F12" s="332" t="s">
        <v>208</v>
      </c>
      <c r="G12" s="123">
        <v>789937</v>
      </c>
      <c r="H12" s="124" t="s">
        <v>208</v>
      </c>
      <c r="I12" s="123">
        <v>4278158</v>
      </c>
      <c r="J12" s="123">
        <v>3204643.0299999993</v>
      </c>
      <c r="K12" s="123">
        <v>4278158</v>
      </c>
      <c r="L12" s="123">
        <f t="shared" si="2"/>
        <v>0</v>
      </c>
      <c r="M12" s="126">
        <f t="shared" si="0"/>
        <v>0</v>
      </c>
      <c r="N12" s="61"/>
      <c r="O12" s="123"/>
      <c r="P12" s="61"/>
    </row>
    <row r="13" spans="1:16" s="62" customFormat="1" ht="18" customHeight="1">
      <c r="A13" s="131" t="s">
        <v>106</v>
      </c>
      <c r="B13" s="122" t="s">
        <v>11</v>
      </c>
      <c r="C13" s="123">
        <v>9789514</v>
      </c>
      <c r="D13" s="123">
        <f t="shared" si="3"/>
        <v>123975</v>
      </c>
      <c r="E13" s="123">
        <v>2624245</v>
      </c>
      <c r="F13" s="124" t="s">
        <v>563</v>
      </c>
      <c r="G13" s="123">
        <v>-2500270</v>
      </c>
      <c r="H13" s="124" t="s">
        <v>563</v>
      </c>
      <c r="I13" s="123">
        <v>9913489</v>
      </c>
      <c r="J13" s="123">
        <v>6449785.0100000026</v>
      </c>
      <c r="K13" s="123">
        <v>9913489</v>
      </c>
      <c r="L13" s="123">
        <f t="shared" si="2"/>
        <v>0</v>
      </c>
      <c r="M13" s="126">
        <f t="shared" si="0"/>
        <v>0</v>
      </c>
      <c r="N13" s="61"/>
      <c r="O13" s="123"/>
      <c r="P13" s="61"/>
    </row>
    <row r="14" spans="1:16" s="62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10550475</v>
      </c>
      <c r="E14" s="123">
        <v>10550475</v>
      </c>
      <c r="F14" s="124" t="s">
        <v>559</v>
      </c>
      <c r="G14" s="123">
        <v>0</v>
      </c>
      <c r="H14" s="124"/>
      <c r="I14" s="123">
        <v>19118889</v>
      </c>
      <c r="J14" s="123">
        <v>15359290.620000005</v>
      </c>
      <c r="K14" s="123">
        <v>19118889</v>
      </c>
      <c r="L14" s="123">
        <f t="shared" si="2"/>
        <v>0</v>
      </c>
      <c r="M14" s="126">
        <f t="shared" si="0"/>
        <v>0</v>
      </c>
      <c r="N14" s="61"/>
      <c r="O14" s="123"/>
      <c r="P14" s="61"/>
    </row>
    <row r="15" spans="1:16" s="62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5485299</v>
      </c>
      <c r="E15" s="123">
        <v>6275236</v>
      </c>
      <c r="F15" s="332" t="s">
        <v>593</v>
      </c>
      <c r="G15" s="123">
        <v>-789937</v>
      </c>
      <c r="H15" s="124" t="s">
        <v>208</v>
      </c>
      <c r="I15" s="123">
        <v>44637850</v>
      </c>
      <c r="J15" s="123">
        <v>36990793.319999956</v>
      </c>
      <c r="K15" s="123">
        <v>44637850</v>
      </c>
      <c r="L15" s="123">
        <f t="shared" si="2"/>
        <v>0</v>
      </c>
      <c r="M15" s="126">
        <f t="shared" si="0"/>
        <v>0</v>
      </c>
      <c r="N15" s="61"/>
      <c r="O15" s="123"/>
      <c r="P15" s="61"/>
    </row>
    <row r="16" spans="1:16" s="62" customFormat="1" ht="18" customHeight="1">
      <c r="A16" s="131" t="s">
        <v>109</v>
      </c>
      <c r="B16" s="122" t="s">
        <v>175</v>
      </c>
      <c r="C16" s="123">
        <v>467704289</v>
      </c>
      <c r="D16" s="123">
        <f t="shared" si="3"/>
        <v>54701328</v>
      </c>
      <c r="E16" s="123">
        <v>54701328</v>
      </c>
      <c r="F16" s="332" t="s">
        <v>564</v>
      </c>
      <c r="G16" s="123">
        <v>0</v>
      </c>
      <c r="H16" s="332"/>
      <c r="I16" s="123">
        <v>522405617</v>
      </c>
      <c r="J16" s="123">
        <v>473429442.28999978</v>
      </c>
      <c r="K16" s="123">
        <v>520508123</v>
      </c>
      <c r="L16" s="123">
        <f t="shared" si="2"/>
        <v>1897494</v>
      </c>
      <c r="M16" s="126">
        <f t="shared" si="0"/>
        <v>0</v>
      </c>
      <c r="N16" s="61"/>
      <c r="O16" s="123"/>
      <c r="P16" s="61"/>
    </row>
    <row r="17" spans="1:16" s="62" customFormat="1" ht="18" customHeight="1">
      <c r="A17" s="131" t="s">
        <v>110</v>
      </c>
      <c r="B17" s="122" t="s">
        <v>176</v>
      </c>
      <c r="C17" s="123">
        <v>289947795</v>
      </c>
      <c r="D17" s="123">
        <f t="shared" si="3"/>
        <v>0</v>
      </c>
      <c r="E17" s="123">
        <v>0</v>
      </c>
      <c r="F17" s="124"/>
      <c r="G17" s="123">
        <v>0</v>
      </c>
      <c r="H17" s="124"/>
      <c r="I17" s="123">
        <v>289947795</v>
      </c>
      <c r="J17" s="123">
        <v>290107714.96000016</v>
      </c>
      <c r="K17" s="123">
        <v>289941151</v>
      </c>
      <c r="L17" s="123">
        <f t="shared" si="2"/>
        <v>6644</v>
      </c>
      <c r="M17" s="126">
        <f t="shared" si="0"/>
        <v>0</v>
      </c>
      <c r="N17" s="61"/>
      <c r="O17" s="123"/>
      <c r="P17" s="61"/>
    </row>
    <row r="18" spans="1:16" s="62" customFormat="1" ht="18" customHeight="1">
      <c r="A18" s="131" t="s">
        <v>111</v>
      </c>
      <c r="B18" s="122" t="s">
        <v>177</v>
      </c>
      <c r="C18" s="123">
        <v>39981076</v>
      </c>
      <c r="D18" s="123">
        <f t="shared" si="3"/>
        <v>-1647447</v>
      </c>
      <c r="E18" s="123">
        <v>-1647447</v>
      </c>
      <c r="F18" s="124" t="s">
        <v>565</v>
      </c>
      <c r="G18" s="123">
        <v>0</v>
      </c>
      <c r="H18" s="124"/>
      <c r="I18" s="123">
        <v>38333629</v>
      </c>
      <c r="J18" s="123">
        <v>26033359.969999999</v>
      </c>
      <c r="K18" s="123">
        <v>34048751</v>
      </c>
      <c r="L18" s="123">
        <f t="shared" si="2"/>
        <v>4284878</v>
      </c>
      <c r="M18" s="126">
        <f t="shared" si="0"/>
        <v>0</v>
      </c>
      <c r="N18" s="61"/>
      <c r="O18" s="123"/>
      <c r="P18" s="61"/>
    </row>
    <row r="19" spans="1:16" s="62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7239923</v>
      </c>
      <c r="E19" s="123">
        <v>7239923</v>
      </c>
      <c r="F19" s="332" t="s">
        <v>575</v>
      </c>
      <c r="G19" s="123">
        <v>0</v>
      </c>
      <c r="H19" s="124"/>
      <c r="I19" s="123">
        <v>7239923</v>
      </c>
      <c r="J19" s="123">
        <v>7062634.4500000067</v>
      </c>
      <c r="K19" s="123">
        <v>7239923</v>
      </c>
      <c r="L19" s="123">
        <f t="shared" si="2"/>
        <v>0</v>
      </c>
      <c r="M19" s="126">
        <f t="shared" si="0"/>
        <v>0</v>
      </c>
      <c r="N19" s="61"/>
      <c r="O19" s="123"/>
      <c r="P19" s="61"/>
    </row>
    <row r="20" spans="1:16" s="72" customFormat="1" ht="7.5" customHeight="1">
      <c r="A20" s="131"/>
      <c r="B20" s="132"/>
      <c r="C20" s="123"/>
      <c r="D20" s="123"/>
      <c r="E20" s="123"/>
      <c r="F20" s="124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70"/>
    </row>
    <row r="21" spans="1:16" s="71" customFormat="1" ht="18" customHeight="1">
      <c r="A21" s="127" t="s">
        <v>240</v>
      </c>
      <c r="B21" s="128"/>
      <c r="C21" s="129">
        <f>SUM(C8:C19)</f>
        <v>1743307053</v>
      </c>
      <c r="D21" s="129">
        <f>SUM(D8:D19)</f>
        <v>59984469</v>
      </c>
      <c r="E21" s="129">
        <v>64533449</v>
      </c>
      <c r="F21" s="484"/>
      <c r="G21" s="129">
        <f t="shared" ref="G21:L21" si="4">SUM(G8:G19)</f>
        <v>-4548980</v>
      </c>
      <c r="H21" s="129"/>
      <c r="I21" s="129">
        <f t="shared" si="4"/>
        <v>1803291522</v>
      </c>
      <c r="J21" s="129">
        <f t="shared" si="4"/>
        <v>1682940548.5299845</v>
      </c>
      <c r="K21" s="129">
        <f t="shared" si="4"/>
        <v>1783459141</v>
      </c>
      <c r="L21" s="129">
        <f t="shared" si="4"/>
        <v>19832381</v>
      </c>
      <c r="M21" s="126">
        <f t="shared" si="0"/>
        <v>0</v>
      </c>
      <c r="N21" s="61"/>
      <c r="O21" s="123"/>
      <c r="P21" s="61"/>
    </row>
    <row r="22" spans="1:16" s="62" customFormat="1" ht="18" customHeight="1">
      <c r="A22" s="131" t="s">
        <v>28</v>
      </c>
      <c r="B22" s="122" t="s">
        <v>14</v>
      </c>
      <c r="C22" s="123">
        <v>24312359</v>
      </c>
      <c r="D22" s="123">
        <f t="shared" ref="D22:D27" si="5">E22+G22</f>
        <v>0</v>
      </c>
      <c r="E22" s="123">
        <v>0</v>
      </c>
      <c r="F22" s="124"/>
      <c r="G22" s="123">
        <v>0</v>
      </c>
      <c r="H22" s="124"/>
      <c r="I22" s="123">
        <v>24312359</v>
      </c>
      <c r="J22" s="123">
        <v>22426586.029999997</v>
      </c>
      <c r="K22" s="123">
        <v>24312359</v>
      </c>
      <c r="L22" s="123">
        <f t="shared" ref="L22:L27" si="6">I22-K22</f>
        <v>0</v>
      </c>
      <c r="M22" s="126">
        <f t="shared" si="0"/>
        <v>0</v>
      </c>
      <c r="N22" s="70"/>
      <c r="O22" s="123"/>
      <c r="P22" s="61"/>
    </row>
    <row r="23" spans="1:16" s="62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0</v>
      </c>
      <c r="E23" s="123">
        <v>0</v>
      </c>
      <c r="F23" s="124"/>
      <c r="G23" s="123">
        <v>0</v>
      </c>
      <c r="H23" s="124"/>
      <c r="I23" s="123">
        <v>8422559</v>
      </c>
      <c r="J23" s="123">
        <v>6410145.9200000018</v>
      </c>
      <c r="K23" s="123">
        <v>8422559</v>
      </c>
      <c r="L23" s="123">
        <f t="shared" si="6"/>
        <v>0</v>
      </c>
      <c r="M23" s="126">
        <f t="shared" si="0"/>
        <v>0</v>
      </c>
      <c r="N23" s="71"/>
      <c r="O23" s="123"/>
      <c r="P23" s="61"/>
    </row>
    <row r="24" spans="1:16" s="62" customFormat="1" ht="18" customHeight="1">
      <c r="A24" s="131" t="s">
        <v>113</v>
      </c>
      <c r="B24" s="122" t="s">
        <v>16</v>
      </c>
      <c r="C24" s="123">
        <v>3607157</v>
      </c>
      <c r="D24" s="123">
        <f t="shared" si="5"/>
        <v>228146</v>
      </c>
      <c r="E24" s="123">
        <v>228146</v>
      </c>
      <c r="F24" s="332" t="s">
        <v>554</v>
      </c>
      <c r="G24" s="123">
        <v>0</v>
      </c>
      <c r="H24" s="124"/>
      <c r="I24" s="123">
        <v>3835303</v>
      </c>
      <c r="J24" s="123">
        <v>1814104.9200000006</v>
      </c>
      <c r="K24" s="123">
        <v>3835303</v>
      </c>
      <c r="L24" s="123">
        <f t="shared" si="6"/>
        <v>0</v>
      </c>
      <c r="M24" s="126">
        <f t="shared" si="0"/>
        <v>0</v>
      </c>
      <c r="N24" s="61"/>
      <c r="O24" s="123"/>
      <c r="P24" s="61"/>
    </row>
    <row r="25" spans="1:16" s="62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0</v>
      </c>
      <c r="E25" s="123">
        <v>0</v>
      </c>
      <c r="F25" s="124"/>
      <c r="G25" s="123">
        <v>0</v>
      </c>
      <c r="H25" s="124"/>
      <c r="I25" s="123">
        <v>29589697</v>
      </c>
      <c r="J25" s="123">
        <v>23114352.510000024</v>
      </c>
      <c r="K25" s="123">
        <v>29589697</v>
      </c>
      <c r="L25" s="123">
        <f t="shared" si="6"/>
        <v>0</v>
      </c>
      <c r="M25" s="126">
        <f t="shared" si="0"/>
        <v>0</v>
      </c>
      <c r="N25" s="61"/>
      <c r="O25" s="123"/>
      <c r="P25" s="61"/>
    </row>
    <row r="26" spans="1:16" s="62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1321411</v>
      </c>
      <c r="E26" s="123">
        <v>1312724</v>
      </c>
      <c r="F26" s="332" t="s">
        <v>187</v>
      </c>
      <c r="G26" s="123">
        <v>8687</v>
      </c>
      <c r="H26" s="124" t="s">
        <v>187</v>
      </c>
      <c r="I26" s="123">
        <v>32811746</v>
      </c>
      <c r="J26" s="123">
        <v>26079536.52999999</v>
      </c>
      <c r="K26" s="123">
        <v>32811746</v>
      </c>
      <c r="L26" s="123">
        <f t="shared" si="6"/>
        <v>0</v>
      </c>
      <c r="M26" s="126">
        <f>I26-C26-D26</f>
        <v>0</v>
      </c>
      <c r="N26" s="61"/>
      <c r="O26" s="123"/>
      <c r="P26" s="61"/>
    </row>
    <row r="27" spans="1:16" s="62" customFormat="1" ht="18" customHeight="1">
      <c r="A27" s="131" t="s">
        <v>114</v>
      </c>
      <c r="B27" s="122" t="s">
        <v>144</v>
      </c>
      <c r="C27" s="123">
        <v>7489707</v>
      </c>
      <c r="D27" s="123">
        <f t="shared" si="5"/>
        <v>21950</v>
      </c>
      <c r="E27" s="123">
        <v>221585</v>
      </c>
      <c r="F27" s="332" t="s">
        <v>419</v>
      </c>
      <c r="G27" s="123">
        <v>-199635</v>
      </c>
      <c r="H27" s="332" t="s">
        <v>187</v>
      </c>
      <c r="I27" s="123">
        <v>7511657</v>
      </c>
      <c r="J27" s="123">
        <v>5988176.870000002</v>
      </c>
      <c r="K27" s="123">
        <v>7511657</v>
      </c>
      <c r="L27" s="123">
        <f t="shared" si="6"/>
        <v>0</v>
      </c>
      <c r="M27" s="126">
        <f>I27-C27-D27</f>
        <v>0</v>
      </c>
      <c r="N27" s="61"/>
      <c r="O27" s="123"/>
      <c r="P27" s="61"/>
    </row>
    <row r="28" spans="1:16" s="72" customFormat="1" ht="7.5" customHeight="1">
      <c r="A28" s="131"/>
      <c r="B28" s="122"/>
      <c r="C28" s="123"/>
      <c r="D28" s="123"/>
      <c r="E28" s="123"/>
      <c r="F28" s="124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70"/>
    </row>
    <row r="29" spans="1:16" s="71" customFormat="1" ht="18" customHeight="1">
      <c r="A29" s="127" t="s">
        <v>241</v>
      </c>
      <c r="B29" s="128"/>
      <c r="C29" s="129">
        <f>SUM(C22:C27)</f>
        <v>104911814</v>
      </c>
      <c r="D29" s="129">
        <f>SUM(D22:D27)</f>
        <v>1571507</v>
      </c>
      <c r="E29" s="129">
        <v>1762455</v>
      </c>
      <c r="F29" s="484"/>
      <c r="G29" s="129">
        <f>SUM(G22:G27)</f>
        <v>-190948</v>
      </c>
      <c r="H29" s="130"/>
      <c r="I29" s="129">
        <f>SUM(I22:I27)</f>
        <v>106483321</v>
      </c>
      <c r="J29" s="129">
        <f>SUM(J22:J27)</f>
        <v>85832902.780000016</v>
      </c>
      <c r="K29" s="129">
        <f>SUM(K22:K27)</f>
        <v>106483321</v>
      </c>
      <c r="L29" s="129">
        <f>SUM(L22:L27)</f>
        <v>0</v>
      </c>
      <c r="M29" s="126">
        <f t="shared" si="0"/>
        <v>0</v>
      </c>
      <c r="N29" s="61"/>
      <c r="O29" s="123"/>
      <c r="P29" s="61"/>
    </row>
    <row r="30" spans="1:16" s="62" customFormat="1" ht="18" customHeight="1">
      <c r="A30" s="131" t="s">
        <v>101</v>
      </c>
      <c r="B30" s="122" t="s">
        <v>178</v>
      </c>
      <c r="C30" s="123">
        <v>47708113</v>
      </c>
      <c r="D30" s="123">
        <f>E30+G30</f>
        <v>-407805</v>
      </c>
      <c r="E30" s="123">
        <v>-292319</v>
      </c>
      <c r="F30" s="124" t="s">
        <v>420</v>
      </c>
      <c r="G30" s="123">
        <v>-115486</v>
      </c>
      <c r="H30" s="124" t="s">
        <v>210</v>
      </c>
      <c r="I30" s="123">
        <v>47300308</v>
      </c>
      <c r="J30" s="123">
        <v>43932170.300000057</v>
      </c>
      <c r="K30" s="123">
        <v>45112938</v>
      </c>
      <c r="L30" s="123">
        <f>I30-K30</f>
        <v>2187370</v>
      </c>
      <c r="M30" s="126">
        <f t="shared" si="0"/>
        <v>0</v>
      </c>
      <c r="N30" s="61"/>
      <c r="O30" s="123"/>
      <c r="P30" s="61"/>
    </row>
    <row r="31" spans="1:16" s="62" customFormat="1" ht="18" customHeight="1">
      <c r="A31" s="131" t="s">
        <v>102</v>
      </c>
      <c r="B31" s="122" t="s">
        <v>115</v>
      </c>
      <c r="C31" s="123">
        <v>5085190</v>
      </c>
      <c r="D31" s="123">
        <f>E31+G31</f>
        <v>-578712</v>
      </c>
      <c r="E31" s="123">
        <v>-560112</v>
      </c>
      <c r="F31" s="124" t="s">
        <v>504</v>
      </c>
      <c r="G31" s="123">
        <v>-18600</v>
      </c>
      <c r="H31" s="124" t="s">
        <v>210</v>
      </c>
      <c r="I31" s="123">
        <v>4506478</v>
      </c>
      <c r="J31" s="123">
        <v>3596464.38</v>
      </c>
      <c r="K31" s="123">
        <v>3969485</v>
      </c>
      <c r="L31" s="123">
        <f>I31-K31</f>
        <v>536993</v>
      </c>
      <c r="M31" s="126">
        <f t="shared" si="0"/>
        <v>0</v>
      </c>
      <c r="N31" s="70"/>
      <c r="O31" s="123"/>
      <c r="P31" s="61"/>
    </row>
    <row r="32" spans="1:16" s="62" customFormat="1" ht="18" customHeight="1">
      <c r="A32" s="131" t="s">
        <v>103</v>
      </c>
      <c r="B32" s="122" t="s">
        <v>179</v>
      </c>
      <c r="C32" s="123">
        <v>9399818</v>
      </c>
      <c r="D32" s="123">
        <f>E32+G32</f>
        <v>15000</v>
      </c>
      <c r="E32" s="123">
        <v>15000</v>
      </c>
      <c r="F32" s="124" t="s">
        <v>594</v>
      </c>
      <c r="G32" s="123">
        <v>0</v>
      </c>
      <c r="H32" s="124" t="s">
        <v>210</v>
      </c>
      <c r="I32" s="123">
        <v>9414818</v>
      </c>
      <c r="J32" s="123">
        <v>7769149.7799999965</v>
      </c>
      <c r="K32" s="123">
        <v>9000444</v>
      </c>
      <c r="L32" s="123">
        <f>I32-K32</f>
        <v>414374</v>
      </c>
      <c r="M32" s="126">
        <f t="shared" si="0"/>
        <v>0</v>
      </c>
      <c r="N32" s="71"/>
      <c r="O32" s="123"/>
      <c r="P32" s="61"/>
    </row>
    <row r="33" spans="1:17" s="72" customFormat="1" ht="7.5" customHeight="1">
      <c r="A33" s="131"/>
      <c r="B33" s="122"/>
      <c r="C33" s="123"/>
      <c r="D33" s="123"/>
      <c r="E33" s="123"/>
      <c r="F33" s="124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70"/>
    </row>
    <row r="34" spans="1:17" s="62" customFormat="1" ht="18" customHeight="1">
      <c r="A34" s="133" t="s">
        <v>242</v>
      </c>
      <c r="B34" s="128"/>
      <c r="C34" s="129">
        <f>SUM(C30:C32)</f>
        <v>62193121</v>
      </c>
      <c r="D34" s="129">
        <f>SUM(D30:D32)</f>
        <v>-971517</v>
      </c>
      <c r="E34" s="129">
        <v>-837431</v>
      </c>
      <c r="F34" s="484"/>
      <c r="G34" s="130">
        <f>SUM(G30:G32)</f>
        <v>-134086</v>
      </c>
      <c r="H34" s="130"/>
      <c r="I34" s="129">
        <f>SUM(I30:I32)</f>
        <v>61221604</v>
      </c>
      <c r="J34" s="129">
        <f>SUM(J30:J32)</f>
        <v>55297784.460000053</v>
      </c>
      <c r="K34" s="129">
        <f>SUM(K30:K32)</f>
        <v>58082867</v>
      </c>
      <c r="L34" s="129">
        <f>SUM(L30:L32)</f>
        <v>3138737</v>
      </c>
      <c r="M34" s="126">
        <f t="shared" si="0"/>
        <v>0</v>
      </c>
      <c r="N34" s="61"/>
      <c r="O34" s="123"/>
      <c r="P34" s="487"/>
    </row>
    <row r="35" spans="1:17" s="62" customFormat="1" ht="18" customHeight="1">
      <c r="A35" s="131" t="s">
        <v>104</v>
      </c>
      <c r="B35" s="134" t="s">
        <v>18</v>
      </c>
      <c r="C35" s="123">
        <v>22921876</v>
      </c>
      <c r="D35" s="123">
        <f>E35+G35</f>
        <v>3364297</v>
      </c>
      <c r="E35" s="123">
        <v>3359254</v>
      </c>
      <c r="F35" s="332" t="s">
        <v>566</v>
      </c>
      <c r="G35" s="123">
        <v>5043</v>
      </c>
      <c r="H35" s="124" t="s">
        <v>210</v>
      </c>
      <c r="I35" s="123">
        <v>26286173</v>
      </c>
      <c r="J35" s="123">
        <v>24285637.530000027</v>
      </c>
      <c r="K35" s="123">
        <v>24769927</v>
      </c>
      <c r="L35" s="123">
        <f>I35-K35</f>
        <v>1516246</v>
      </c>
      <c r="M35" s="126">
        <f t="shared" si="0"/>
        <v>0</v>
      </c>
      <c r="N35" s="61"/>
      <c r="O35" s="123"/>
      <c r="P35" s="61"/>
    </row>
    <row r="36" spans="1:17" s="62" customFormat="1" ht="18" customHeight="1">
      <c r="A36" s="131" t="s">
        <v>272</v>
      </c>
      <c r="B36" s="134" t="s">
        <v>19</v>
      </c>
      <c r="C36" s="123">
        <v>11560395</v>
      </c>
      <c r="D36" s="123">
        <f>E36+G36</f>
        <v>1683957</v>
      </c>
      <c r="E36" s="123">
        <v>1726734</v>
      </c>
      <c r="F36" s="124" t="s">
        <v>567</v>
      </c>
      <c r="G36" s="123">
        <v>-42777</v>
      </c>
      <c r="H36" s="124" t="s">
        <v>210</v>
      </c>
      <c r="I36" s="123">
        <v>13244352</v>
      </c>
      <c r="J36" s="123">
        <v>12111566.489999959</v>
      </c>
      <c r="K36" s="123">
        <v>12672645</v>
      </c>
      <c r="L36" s="123">
        <f>I36-K36</f>
        <v>571707</v>
      </c>
      <c r="M36" s="126">
        <f t="shared" si="0"/>
        <v>0</v>
      </c>
      <c r="N36" s="61"/>
      <c r="O36" s="123"/>
      <c r="P36" s="61"/>
    </row>
    <row r="37" spans="1:17" s="62" customFormat="1" ht="18" customHeight="1">
      <c r="A37" s="131" t="s">
        <v>273</v>
      </c>
      <c r="B37" s="134" t="s">
        <v>20</v>
      </c>
      <c r="C37" s="123">
        <v>1224397</v>
      </c>
      <c r="D37" s="123">
        <f>E37+G37</f>
        <v>-126149</v>
      </c>
      <c r="E37" s="123">
        <v>-123586</v>
      </c>
      <c r="F37" s="124" t="s">
        <v>576</v>
      </c>
      <c r="G37" s="123">
        <v>-2563</v>
      </c>
      <c r="H37" s="124" t="s">
        <v>210</v>
      </c>
      <c r="I37" s="123">
        <v>1098248</v>
      </c>
      <c r="J37" s="123">
        <v>876755.35000000207</v>
      </c>
      <c r="K37" s="123">
        <v>891855</v>
      </c>
      <c r="L37" s="123">
        <f>I37-K37</f>
        <v>206393</v>
      </c>
      <c r="M37" s="126">
        <f t="shared" si="0"/>
        <v>0</v>
      </c>
      <c r="N37" s="70"/>
      <c r="O37" s="123"/>
      <c r="P37" s="61"/>
    </row>
    <row r="38" spans="1:17" s="62" customFormat="1" ht="18" customHeight="1">
      <c r="A38" s="131" t="s">
        <v>274</v>
      </c>
      <c r="B38" s="134" t="s">
        <v>21</v>
      </c>
      <c r="C38" s="123">
        <v>42532452</v>
      </c>
      <c r="D38" s="123">
        <f>E38+G38</f>
        <v>1655019</v>
      </c>
      <c r="E38" s="123">
        <v>1790301</v>
      </c>
      <c r="F38" s="332" t="s">
        <v>566</v>
      </c>
      <c r="G38" s="123">
        <v>-135282</v>
      </c>
      <c r="H38" s="124" t="s">
        <v>210</v>
      </c>
      <c r="I38" s="123">
        <v>44187471</v>
      </c>
      <c r="J38" s="123">
        <v>30834904.170000102</v>
      </c>
      <c r="K38" s="123">
        <v>40976200</v>
      </c>
      <c r="L38" s="123">
        <f>I38-K38</f>
        <v>3211271</v>
      </c>
      <c r="M38" s="126">
        <f t="shared" si="0"/>
        <v>0</v>
      </c>
      <c r="O38" s="123"/>
      <c r="P38" s="61"/>
    </row>
    <row r="39" spans="1:17" s="72" customFormat="1" ht="7.5" customHeight="1">
      <c r="A39" s="131"/>
      <c r="B39" s="134"/>
      <c r="C39" s="123"/>
      <c r="D39" s="123"/>
      <c r="E39" s="123"/>
      <c r="F39" s="124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70"/>
    </row>
    <row r="40" spans="1:17" s="71" customFormat="1" ht="18" customHeight="1">
      <c r="A40" s="127" t="s">
        <v>427</v>
      </c>
      <c r="B40" s="128"/>
      <c r="C40" s="129">
        <f>SUM(C35:C38)</f>
        <v>78239120</v>
      </c>
      <c r="D40" s="129">
        <f>SUM(D35:D39)</f>
        <v>6577124</v>
      </c>
      <c r="E40" s="129">
        <v>6752703</v>
      </c>
      <c r="F40" s="484"/>
      <c r="G40" s="130">
        <f>SUM(G35:G39)</f>
        <v>-175579</v>
      </c>
      <c r="H40" s="130"/>
      <c r="I40" s="129">
        <f>SUM(I35:I39)</f>
        <v>84816244</v>
      </c>
      <c r="J40" s="129">
        <f>SUM(J35:J39)</f>
        <v>68108863.540000096</v>
      </c>
      <c r="K40" s="129">
        <f>SUM(K35:K39)</f>
        <v>79310627</v>
      </c>
      <c r="L40" s="129">
        <f>SUM(L35:L39)</f>
        <v>5505617</v>
      </c>
      <c r="M40" s="126">
        <f>I40-C40-D40</f>
        <v>0</v>
      </c>
      <c r="N40" s="61"/>
      <c r="O40" s="123"/>
      <c r="P40" s="61"/>
    </row>
    <row r="41" spans="1:17" s="62" customFormat="1" ht="18" customHeight="1">
      <c r="A41" s="131" t="s">
        <v>105</v>
      </c>
      <c r="B41" s="132" t="s">
        <v>116</v>
      </c>
      <c r="C41" s="123">
        <v>28692946</v>
      </c>
      <c r="D41" s="123">
        <f>E41+G41</f>
        <v>8109630</v>
      </c>
      <c r="E41" s="123">
        <v>8109630</v>
      </c>
      <c r="F41" s="124" t="s">
        <v>577</v>
      </c>
      <c r="G41" s="123">
        <v>0</v>
      </c>
      <c r="H41" s="124"/>
      <c r="I41" s="123">
        <v>36802576</v>
      </c>
      <c r="J41" s="123">
        <v>25918708.900000021</v>
      </c>
      <c r="K41" s="123">
        <v>31635238</v>
      </c>
      <c r="L41" s="123">
        <f>I41-K41</f>
        <v>5167338</v>
      </c>
      <c r="M41" s="126">
        <f t="shared" si="0"/>
        <v>0</v>
      </c>
      <c r="N41" s="61"/>
      <c r="O41" s="123"/>
      <c r="P41" s="61"/>
    </row>
    <row r="42" spans="1:17" s="72" customFormat="1" ht="7.5" customHeight="1">
      <c r="A42" s="131"/>
      <c r="B42" s="134"/>
      <c r="C42" s="123"/>
      <c r="D42" s="123"/>
      <c r="E42" s="123"/>
      <c r="F42" s="124"/>
      <c r="G42" s="124"/>
      <c r="H42" s="124"/>
      <c r="I42" s="123"/>
      <c r="J42" s="123"/>
      <c r="K42" s="123"/>
      <c r="L42" s="123"/>
      <c r="M42" s="126">
        <f t="shared" si="0"/>
        <v>0</v>
      </c>
      <c r="N42" s="61"/>
      <c r="O42" s="123"/>
      <c r="P42" s="70"/>
    </row>
    <row r="43" spans="1:17" s="71" customFormat="1" ht="18" customHeight="1">
      <c r="A43" s="127" t="s">
        <v>428</v>
      </c>
      <c r="B43" s="128"/>
      <c r="C43" s="129">
        <f>SUM(C41:C41)</f>
        <v>28692946</v>
      </c>
      <c r="D43" s="129">
        <f>SUM(D41:D41)</f>
        <v>8109630</v>
      </c>
      <c r="E43" s="129">
        <v>8109630</v>
      </c>
      <c r="F43" s="484"/>
      <c r="G43" s="129">
        <f>SUM(G41:G41)</f>
        <v>0</v>
      </c>
      <c r="H43" s="130"/>
      <c r="I43" s="129">
        <f>SUM(I41:I41)</f>
        <v>36802576</v>
      </c>
      <c r="J43" s="129">
        <f>SUM(J41:J41)</f>
        <v>25918708.900000021</v>
      </c>
      <c r="K43" s="129">
        <f>SUM(K41:K41)</f>
        <v>31635238</v>
      </c>
      <c r="L43" s="129">
        <f>SUM(L41:L41)</f>
        <v>5167338</v>
      </c>
      <c r="M43" s="126">
        <f t="shared" si="0"/>
        <v>0</v>
      </c>
      <c r="N43" s="70"/>
      <c r="O43" s="123"/>
      <c r="P43" s="61"/>
    </row>
    <row r="44" spans="1:17" s="73" customFormat="1" ht="7.5" customHeight="1">
      <c r="A44" s="136"/>
      <c r="B44" s="137"/>
      <c r="C44" s="138"/>
      <c r="D44" s="138"/>
      <c r="E44" s="138"/>
      <c r="F44" s="124"/>
      <c r="G44" s="139"/>
      <c r="H44" s="139"/>
      <c r="I44" s="138"/>
      <c r="J44" s="138"/>
      <c r="K44" s="138"/>
      <c r="L44" s="138"/>
      <c r="M44" s="126">
        <f t="shared" si="0"/>
        <v>0</v>
      </c>
      <c r="N44" s="70"/>
      <c r="O44" s="123"/>
      <c r="P44" s="70"/>
    </row>
    <row r="45" spans="1:17" s="71" customFormat="1" ht="18" customHeight="1" thickBot="1">
      <c r="A45" s="140" t="s">
        <v>243</v>
      </c>
      <c r="B45" s="141"/>
      <c r="C45" s="142">
        <f>SUM(C43,C40,C34,C29,C21,C7,)</f>
        <v>2039903861</v>
      </c>
      <c r="D45" s="142">
        <f>SUM(D43,D40,D34,D29,D21,D7,)</f>
        <v>75260608</v>
      </c>
      <c r="E45" s="142">
        <v>80329998</v>
      </c>
      <c r="F45" s="485"/>
      <c r="G45" s="142">
        <f t="shared" ref="G45:L45" si="7">SUM(G43,G40,G34,G29,G21,G7,)</f>
        <v>-5069390</v>
      </c>
      <c r="H45" s="142"/>
      <c r="I45" s="142">
        <f t="shared" si="7"/>
        <v>2115164469</v>
      </c>
      <c r="J45" s="142">
        <f>SUM(J43,J40,J34,J29,J21,J7,)</f>
        <v>1939088540.2799847</v>
      </c>
      <c r="K45" s="142">
        <f t="shared" si="7"/>
        <v>2080395570</v>
      </c>
      <c r="L45" s="142">
        <f t="shared" si="7"/>
        <v>34768899</v>
      </c>
      <c r="M45" s="126">
        <f>I45-C45-D45</f>
        <v>0</v>
      </c>
      <c r="N45" s="61"/>
      <c r="O45" s="61"/>
      <c r="P45" s="61"/>
    </row>
    <row r="46" spans="1:17" s="74" customFormat="1" ht="18" customHeight="1" thickTop="1">
      <c r="A46" s="143"/>
      <c r="B46" s="132"/>
      <c r="C46" s="123"/>
      <c r="D46" s="123"/>
      <c r="E46" s="123"/>
      <c r="F46" s="124"/>
      <c r="G46" s="123"/>
      <c r="H46" s="123"/>
      <c r="I46" s="123"/>
      <c r="J46" s="123"/>
      <c r="K46" s="123"/>
      <c r="L46" s="123"/>
      <c r="M46" s="126">
        <f t="shared" si="0"/>
        <v>0</v>
      </c>
      <c r="O46" s="75"/>
      <c r="P46" s="75"/>
      <c r="Q46" s="75"/>
    </row>
    <row r="47" spans="1:17" s="74" customFormat="1" ht="18" customHeight="1">
      <c r="A47" s="144" t="s">
        <v>48</v>
      </c>
      <c r="B47" s="132"/>
      <c r="C47" s="123"/>
      <c r="D47" s="123"/>
      <c r="E47" s="123"/>
      <c r="F47" s="124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74" customFormat="1" ht="18" customHeight="1">
      <c r="A48" s="135"/>
      <c r="B48" s="132" t="s">
        <v>4</v>
      </c>
      <c r="C48" s="123">
        <v>1138776323</v>
      </c>
      <c r="D48" s="123">
        <f>I48-C48</f>
        <v>82705300</v>
      </c>
      <c r="E48" s="123">
        <v>82705300</v>
      </c>
      <c r="F48" s="124"/>
      <c r="G48" s="123">
        <v>0</v>
      </c>
      <c r="H48" s="124"/>
      <c r="I48" s="123">
        <v>1221481623</v>
      </c>
      <c r="J48" s="123">
        <v>949930524.29997432</v>
      </c>
      <c r="K48" s="123">
        <v>1196296849</v>
      </c>
      <c r="L48" s="123">
        <f>I48-K48</f>
        <v>25184774</v>
      </c>
      <c r="M48" s="126">
        <f t="shared" si="0"/>
        <v>0</v>
      </c>
      <c r="N48" s="62"/>
      <c r="O48" s="329"/>
    </row>
    <row r="49" spans="1:15" s="74" customFormat="1" ht="18" customHeight="1">
      <c r="A49" s="135"/>
      <c r="B49" s="132" t="s">
        <v>5</v>
      </c>
      <c r="C49" s="123">
        <v>5685701</v>
      </c>
      <c r="D49" s="123">
        <f>I49-C49</f>
        <v>0</v>
      </c>
      <c r="E49" s="123">
        <v>0</v>
      </c>
      <c r="F49" s="124"/>
      <c r="G49" s="123">
        <v>0</v>
      </c>
      <c r="H49" s="124"/>
      <c r="I49" s="123">
        <v>5685701</v>
      </c>
      <c r="J49" s="123">
        <v>5685701</v>
      </c>
      <c r="K49" s="123">
        <v>5685701</v>
      </c>
      <c r="L49" s="123">
        <f>I49-K49</f>
        <v>0</v>
      </c>
      <c r="M49" s="126">
        <f t="shared" si="0"/>
        <v>0</v>
      </c>
      <c r="N49" s="62"/>
      <c r="O49" s="329"/>
    </row>
    <row r="50" spans="1:15" s="71" customFormat="1" ht="18" customHeight="1">
      <c r="A50" s="145"/>
      <c r="B50" s="146" t="s">
        <v>49</v>
      </c>
      <c r="C50" s="123">
        <f>SUM(C48:C49)</f>
        <v>1144462024</v>
      </c>
      <c r="D50" s="123">
        <f t="shared" ref="D50" si="8">SUM(D47:D49)</f>
        <v>82705300</v>
      </c>
      <c r="E50" s="123">
        <v>82705300</v>
      </c>
      <c r="F50" s="124"/>
      <c r="G50" s="123">
        <f>SUM(G48:G49)</f>
        <v>0</v>
      </c>
      <c r="H50" s="124"/>
      <c r="I50" s="123">
        <f>SUM(I48:I49)</f>
        <v>1227167324</v>
      </c>
      <c r="J50" s="123">
        <f>SUM(J48:J49)</f>
        <v>955616225.29997432</v>
      </c>
      <c r="K50" s="123">
        <f>SUM(K48:K49)</f>
        <v>1201982550</v>
      </c>
      <c r="L50" s="123">
        <f>I50-K50</f>
        <v>25184774</v>
      </c>
      <c r="M50" s="126">
        <f t="shared" si="0"/>
        <v>0</v>
      </c>
      <c r="N50" s="62"/>
      <c r="O50" s="329"/>
    </row>
    <row r="51" spans="1:15" s="74" customFormat="1" ht="18" customHeight="1">
      <c r="A51" s="135"/>
      <c r="B51" s="132" t="s">
        <v>6</v>
      </c>
      <c r="C51" s="123">
        <v>887681249</v>
      </c>
      <c r="D51" s="123">
        <f>I51-C51</f>
        <v>-7607675</v>
      </c>
      <c r="E51" s="123">
        <v>-2537285</v>
      </c>
      <c r="F51" s="124"/>
      <c r="G51" s="123">
        <v>-5070390</v>
      </c>
      <c r="H51" s="124"/>
      <c r="I51" s="123">
        <v>880073574</v>
      </c>
      <c r="J51" s="123">
        <v>974869008.11998951</v>
      </c>
      <c r="K51" s="123">
        <v>870849415</v>
      </c>
      <c r="L51" s="123">
        <f>I51-K51</f>
        <v>9224159</v>
      </c>
      <c r="M51" s="126">
        <f t="shared" si="0"/>
        <v>0</v>
      </c>
      <c r="N51" s="62"/>
      <c r="O51" s="329"/>
    </row>
    <row r="52" spans="1:15" s="74" customFormat="1" ht="18" customHeight="1">
      <c r="A52" s="135"/>
      <c r="B52" s="132" t="s">
        <v>34</v>
      </c>
      <c r="C52" s="123">
        <v>7760588</v>
      </c>
      <c r="D52" s="123">
        <f>I52-C52</f>
        <v>162983</v>
      </c>
      <c r="E52" s="123">
        <v>161983</v>
      </c>
      <c r="F52" s="124"/>
      <c r="G52" s="123">
        <v>1000</v>
      </c>
      <c r="H52" s="124"/>
      <c r="I52" s="123">
        <v>7923571</v>
      </c>
      <c r="J52" s="123">
        <v>8603306.8600000255</v>
      </c>
      <c r="K52" s="123">
        <v>7563605</v>
      </c>
      <c r="L52" s="123">
        <f>I52-K52</f>
        <v>359966</v>
      </c>
      <c r="M52" s="126">
        <f t="shared" si="0"/>
        <v>0</v>
      </c>
      <c r="N52" s="62"/>
      <c r="O52" s="329"/>
    </row>
    <row r="53" spans="1:15" s="71" customFormat="1" ht="18" customHeight="1">
      <c r="A53" s="127" t="s">
        <v>35</v>
      </c>
      <c r="B53" s="147"/>
      <c r="C53" s="129">
        <f>SUM(C50:C52)</f>
        <v>2039903861</v>
      </c>
      <c r="D53" s="129">
        <f>SUM(D50:D52)</f>
        <v>75260608</v>
      </c>
      <c r="E53" s="129">
        <v>80329998</v>
      </c>
      <c r="F53" s="333"/>
      <c r="G53" s="129">
        <f>SUM(G50:G52)</f>
        <v>-5069390</v>
      </c>
      <c r="H53" s="333"/>
      <c r="I53" s="129">
        <f t="shared" ref="I53:L53" si="9">SUM(I50:I52)</f>
        <v>2115164469</v>
      </c>
      <c r="J53" s="129">
        <f t="shared" si="9"/>
        <v>1939088540.279964</v>
      </c>
      <c r="K53" s="129">
        <f t="shared" si="9"/>
        <v>2080395570</v>
      </c>
      <c r="L53" s="129">
        <f t="shared" si="9"/>
        <v>34768899</v>
      </c>
      <c r="M53" s="126">
        <f>I53-C53-D53</f>
        <v>0</v>
      </c>
      <c r="N53" s="62"/>
    </row>
    <row r="54" spans="1:15" s="74" customFormat="1" ht="18" customHeight="1">
      <c r="A54" s="148"/>
      <c r="B54" s="148"/>
      <c r="C54" s="149"/>
      <c r="D54" s="149"/>
      <c r="E54" s="149"/>
      <c r="F54" s="150"/>
      <c r="G54" s="150"/>
      <c r="H54" s="150"/>
      <c r="I54" s="149"/>
      <c r="J54" s="149"/>
      <c r="K54" s="149"/>
      <c r="L54" s="149"/>
      <c r="M54" s="151"/>
    </row>
    <row r="55" spans="1:15" s="69" customFormat="1" ht="18" customHeight="1">
      <c r="A55" s="154" t="s">
        <v>188</v>
      </c>
      <c r="B55" s="155" t="s">
        <v>332</v>
      </c>
      <c r="C55" s="158"/>
      <c r="D55" s="158"/>
      <c r="E55" s="158"/>
      <c r="F55" s="158"/>
      <c r="G55" s="153"/>
      <c r="H55" s="153"/>
      <c r="I55" s="152"/>
      <c r="J55" s="152"/>
      <c r="K55" s="152"/>
      <c r="L55" s="152"/>
      <c r="M55" s="64"/>
    </row>
    <row r="56" spans="1:15" s="69" customFormat="1" ht="18" customHeight="1">
      <c r="A56" s="154" t="s">
        <v>211</v>
      </c>
      <c r="B56" s="155" t="s">
        <v>331</v>
      </c>
      <c r="C56" s="158"/>
      <c r="D56" s="158"/>
      <c r="E56" s="158"/>
      <c r="F56" s="158"/>
      <c r="G56" s="153"/>
      <c r="H56" s="153"/>
      <c r="I56" s="152"/>
      <c r="J56" s="152"/>
      <c r="K56" s="152"/>
      <c r="L56" s="152"/>
      <c r="M56" s="64"/>
    </row>
    <row r="57" spans="1:15" s="69" customFormat="1" ht="18" customHeight="1">
      <c r="A57" s="154" t="s">
        <v>208</v>
      </c>
      <c r="B57" s="155" t="s">
        <v>573</v>
      </c>
      <c r="C57" s="158"/>
      <c r="D57" s="158"/>
      <c r="E57" s="158"/>
      <c r="F57" s="158"/>
      <c r="G57" s="153"/>
      <c r="H57" s="153"/>
      <c r="I57" s="152"/>
      <c r="J57" s="152"/>
      <c r="K57" s="152"/>
      <c r="L57" s="152"/>
      <c r="M57" s="64"/>
    </row>
    <row r="58" spans="1:15" s="69" customFormat="1" ht="18" customHeight="1">
      <c r="A58" s="154" t="s">
        <v>209</v>
      </c>
      <c r="B58" s="155" t="s">
        <v>320</v>
      </c>
      <c r="C58" s="156"/>
      <c r="D58" s="156"/>
      <c r="E58" s="156"/>
      <c r="F58" s="157"/>
      <c r="G58" s="153"/>
      <c r="H58" s="153"/>
      <c r="I58" s="152"/>
      <c r="J58" s="152"/>
      <c r="K58" s="152"/>
      <c r="L58" s="152"/>
      <c r="M58" s="64"/>
    </row>
    <row r="59" spans="1:15" s="69" customFormat="1" ht="18" customHeight="1">
      <c r="A59" s="154" t="s">
        <v>187</v>
      </c>
      <c r="B59" s="155" t="s">
        <v>310</v>
      </c>
      <c r="C59" s="156"/>
      <c r="D59" s="156"/>
      <c r="E59" s="156"/>
      <c r="F59" s="157"/>
      <c r="G59" s="153"/>
      <c r="H59" s="153"/>
      <c r="I59" s="152"/>
      <c r="J59" s="152"/>
      <c r="K59" s="152"/>
      <c r="L59" s="152"/>
      <c r="M59" s="64"/>
    </row>
    <row r="60" spans="1:15" s="69" customFormat="1" ht="18" customHeight="1">
      <c r="A60" s="154" t="s">
        <v>210</v>
      </c>
      <c r="B60" s="155" t="s">
        <v>329</v>
      </c>
      <c r="C60" s="158"/>
      <c r="D60" s="158"/>
      <c r="E60" s="158"/>
      <c r="F60" s="158"/>
      <c r="G60" s="153"/>
      <c r="H60" s="153"/>
      <c r="I60" s="152"/>
      <c r="J60" s="152"/>
      <c r="K60" s="152"/>
      <c r="L60" s="152"/>
      <c r="M60" s="64"/>
    </row>
    <row r="61" spans="1:15" s="69" customFormat="1" ht="18" customHeight="1">
      <c r="A61" s="154" t="s">
        <v>168</v>
      </c>
      <c r="B61" s="155" t="s">
        <v>333</v>
      </c>
      <c r="C61" s="158"/>
      <c r="D61" s="158"/>
      <c r="E61" s="158"/>
      <c r="F61" s="158"/>
      <c r="G61" s="153"/>
      <c r="H61" s="153"/>
      <c r="I61" s="152"/>
      <c r="J61" s="152"/>
      <c r="K61" s="152"/>
      <c r="L61" s="152"/>
      <c r="M61" s="64"/>
    </row>
    <row r="62" spans="1:15" s="69" customFormat="1" ht="18" customHeight="1">
      <c r="A62" s="154" t="s">
        <v>338</v>
      </c>
      <c r="B62" s="155" t="s">
        <v>339</v>
      </c>
      <c r="C62" s="158"/>
      <c r="D62" s="158"/>
      <c r="E62" s="158"/>
      <c r="F62" s="158"/>
      <c r="G62" s="153"/>
      <c r="H62" s="153"/>
      <c r="I62" s="152"/>
      <c r="J62" s="152"/>
      <c r="K62" s="152"/>
      <c r="L62" s="152"/>
      <c r="M62" s="64"/>
    </row>
    <row r="63" spans="1:15" s="69" customFormat="1" ht="18" customHeight="1">
      <c r="A63" s="154" t="s">
        <v>337</v>
      </c>
      <c r="B63" s="155" t="s">
        <v>340</v>
      </c>
      <c r="C63" s="158"/>
      <c r="D63" s="158"/>
      <c r="E63" s="158"/>
      <c r="F63" s="158"/>
      <c r="G63" s="153"/>
      <c r="H63" s="153"/>
      <c r="I63" s="152"/>
      <c r="J63" s="152"/>
      <c r="K63" s="152"/>
      <c r="L63" s="152"/>
      <c r="M63" s="64"/>
    </row>
    <row r="64" spans="1:15" s="69" customFormat="1" ht="18" customHeight="1">
      <c r="A64" s="154" t="s">
        <v>212</v>
      </c>
      <c r="B64" s="155" t="s">
        <v>362</v>
      </c>
      <c r="C64" s="158"/>
      <c r="D64" s="158"/>
      <c r="E64" s="158"/>
      <c r="F64" s="158"/>
      <c r="G64" s="153"/>
      <c r="H64" s="153"/>
      <c r="I64" s="152"/>
      <c r="J64" s="152"/>
      <c r="K64" s="152"/>
      <c r="L64" s="152"/>
      <c r="M64" s="64"/>
    </row>
    <row r="65" spans="1:13" s="69" customFormat="1" ht="18" customHeight="1">
      <c r="A65" s="154" t="s">
        <v>255</v>
      </c>
      <c r="B65" s="155" t="s">
        <v>431</v>
      </c>
      <c r="C65" s="156"/>
      <c r="D65" s="156"/>
      <c r="E65" s="156"/>
      <c r="F65" s="157"/>
      <c r="G65" s="153"/>
      <c r="H65" s="153"/>
      <c r="I65" s="152"/>
      <c r="J65" s="152"/>
      <c r="K65" s="152"/>
      <c r="L65" s="152"/>
      <c r="M65" s="64"/>
    </row>
    <row r="66" spans="1:13" s="69" customFormat="1" ht="18" customHeight="1">
      <c r="A66" s="154" t="s">
        <v>422</v>
      </c>
      <c r="B66" s="155" t="s">
        <v>464</v>
      </c>
      <c r="C66" s="156"/>
      <c r="D66" s="156"/>
      <c r="E66" s="156"/>
      <c r="F66" s="157"/>
      <c r="G66" s="153"/>
      <c r="H66" s="153"/>
      <c r="I66" s="152"/>
      <c r="J66" s="152"/>
      <c r="K66" s="152"/>
      <c r="L66" s="152"/>
      <c r="M66" s="64"/>
    </row>
    <row r="67" spans="1:13" s="69" customFormat="1" ht="18" customHeight="1">
      <c r="A67" s="154" t="s">
        <v>468</v>
      </c>
      <c r="B67" s="155" t="s">
        <v>471</v>
      </c>
      <c r="C67" s="156"/>
      <c r="D67" s="156"/>
      <c r="E67" s="156"/>
      <c r="F67" s="157"/>
      <c r="G67" s="153"/>
      <c r="H67" s="153"/>
      <c r="I67" s="152"/>
      <c r="J67" s="152"/>
      <c r="K67" s="152"/>
      <c r="L67" s="152"/>
      <c r="M67" s="64"/>
    </row>
    <row r="68" spans="1:13" s="69" customFormat="1" ht="18" customHeight="1">
      <c r="A68" s="154" t="s">
        <v>353</v>
      </c>
      <c r="B68" s="155" t="s">
        <v>470</v>
      </c>
      <c r="C68" s="156"/>
      <c r="D68" s="156"/>
      <c r="E68" s="156"/>
      <c r="F68" s="157"/>
      <c r="G68" s="153"/>
      <c r="H68" s="153"/>
      <c r="I68" s="152"/>
      <c r="J68" s="152"/>
      <c r="K68" s="152"/>
      <c r="L68" s="152"/>
      <c r="M68" s="64"/>
    </row>
    <row r="69" spans="1:13" s="69" customFormat="1" ht="18" customHeight="1">
      <c r="A69" s="154" t="s">
        <v>217</v>
      </c>
      <c r="B69" s="155" t="s">
        <v>472</v>
      </c>
      <c r="C69" s="156"/>
      <c r="D69" s="156"/>
      <c r="E69" s="156"/>
      <c r="F69" s="157"/>
      <c r="G69" s="153"/>
      <c r="H69" s="153"/>
      <c r="I69" s="152"/>
      <c r="J69" s="152"/>
      <c r="K69" s="152"/>
      <c r="L69" s="152"/>
      <c r="M69" s="64"/>
    </row>
    <row r="70" spans="1:13" s="69" customFormat="1" ht="18" customHeight="1">
      <c r="A70" s="154" t="s">
        <v>256</v>
      </c>
      <c r="B70" s="155" t="s">
        <v>483</v>
      </c>
      <c r="C70" s="156"/>
      <c r="D70" s="156"/>
      <c r="E70" s="156"/>
      <c r="F70" s="157"/>
      <c r="G70" s="153"/>
      <c r="H70" s="153"/>
      <c r="I70" s="152"/>
      <c r="J70" s="152"/>
      <c r="K70" s="152"/>
      <c r="L70" s="152"/>
      <c r="M70" s="64"/>
    </row>
    <row r="71" spans="1:13" s="69" customFormat="1" ht="18" customHeight="1">
      <c r="A71" s="154" t="s">
        <v>523</v>
      </c>
      <c r="B71" s="155" t="s">
        <v>524</v>
      </c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A72" s="154" t="s">
        <v>421</v>
      </c>
      <c r="B72" s="155" t="s">
        <v>460</v>
      </c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A73" s="483" t="s">
        <v>559</v>
      </c>
      <c r="B73" s="155" t="s">
        <v>560</v>
      </c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  <row r="94" spans="3:13" s="69" customFormat="1" ht="18" customHeight="1">
      <c r="C94" s="76"/>
      <c r="D94" s="76"/>
      <c r="E94" s="76"/>
      <c r="F94" s="77"/>
      <c r="G94" s="77"/>
      <c r="H94" s="77"/>
      <c r="I94" s="76"/>
      <c r="J94" s="76"/>
      <c r="K94" s="76"/>
      <c r="L94" s="76"/>
      <c r="M94" s="68"/>
    </row>
    <row r="95" spans="3:13" s="69" customFormat="1" ht="18" customHeight="1">
      <c r="C95" s="76"/>
      <c r="D95" s="76"/>
      <c r="E95" s="76"/>
      <c r="F95" s="77"/>
      <c r="G95" s="77"/>
      <c r="H95" s="77"/>
      <c r="I95" s="76"/>
      <c r="J95" s="76"/>
      <c r="K95" s="76"/>
      <c r="L95" s="76"/>
      <c r="M95" s="68"/>
    </row>
    <row r="96" spans="3:13" s="69" customFormat="1" ht="18" customHeight="1">
      <c r="C96" s="76"/>
      <c r="D96" s="76"/>
      <c r="E96" s="76"/>
      <c r="F96" s="77"/>
      <c r="G96" s="77"/>
      <c r="H96" s="77"/>
      <c r="I96" s="76"/>
      <c r="J96" s="76"/>
      <c r="K96" s="76"/>
      <c r="L96" s="76"/>
      <c r="M96" s="68"/>
    </row>
    <row r="97" spans="3:13" s="69" customFormat="1" ht="18" customHeight="1">
      <c r="C97" s="76"/>
      <c r="D97" s="76"/>
      <c r="E97" s="76"/>
      <c r="F97" s="77"/>
      <c r="G97" s="77"/>
      <c r="H97" s="77"/>
      <c r="I97" s="76"/>
      <c r="J97" s="76"/>
      <c r="K97" s="76"/>
      <c r="L97" s="76"/>
      <c r="M97" s="68"/>
    </row>
  </sheetData>
  <mergeCells count="3">
    <mergeCell ref="A1:L1"/>
    <mergeCell ref="A2:L2"/>
    <mergeCell ref="A3:L3"/>
  </mergeCells>
  <phoneticPr fontId="53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M4" sqref="M1:M1048576"/>
    </sheetView>
  </sheetViews>
  <sheetFormatPr defaultRowHeight="13.2"/>
  <cols>
    <col min="1" max="1" width="64.6640625" style="352" bestFit="1" customWidth="1"/>
    <col min="2" max="2" width="17.109375" style="352" bestFit="1" customWidth="1"/>
    <col min="3" max="3" width="11.33203125" style="342" hidden="1" customWidth="1"/>
    <col min="4" max="4" width="11.44140625" style="342" hidden="1" customWidth="1"/>
    <col min="5" max="6" width="11.6640625" style="342" hidden="1" customWidth="1"/>
    <col min="7" max="7" width="11.33203125" style="342" hidden="1" customWidth="1"/>
    <col min="8" max="8" width="11.6640625" style="342" hidden="1" customWidth="1"/>
    <col min="9" max="9" width="12.109375" style="342" hidden="1" customWidth="1"/>
    <col min="10" max="10" width="11.6640625" style="342" hidden="1" customWidth="1"/>
    <col min="11" max="11" width="12.109375" style="342" hidden="1" customWidth="1"/>
    <col min="12" max="12" width="11.44140625" style="342" hidden="1" customWidth="1"/>
    <col min="13" max="13" width="11.109375" style="342" hidden="1" customWidth="1"/>
    <col min="14" max="14" width="11.6640625" style="342" customWidth="1"/>
    <col min="15" max="15" width="16.109375" style="342" bestFit="1" customWidth="1"/>
    <col min="16" max="16" width="22.33203125" style="352" customWidth="1"/>
    <col min="17" max="17" width="22.33203125" style="353" customWidth="1"/>
    <col min="18" max="18" width="22.33203125" style="352" customWidth="1"/>
    <col min="19" max="20" width="9.33203125" style="352" customWidth="1"/>
    <col min="21" max="21" width="12.6640625" style="352" customWidth="1"/>
    <col min="22" max="22" width="10.44140625" style="352" customWidth="1"/>
    <col min="23" max="254" width="8.88671875" style="352"/>
    <col min="255" max="255" width="63.5546875" style="352" bestFit="1" customWidth="1"/>
    <col min="256" max="256" width="10.6640625" style="352" bestFit="1" customWidth="1"/>
    <col min="257" max="267" width="0" style="352" hidden="1" customWidth="1"/>
    <col min="268" max="268" width="14.88671875" style="352" bestFit="1" customWidth="1"/>
    <col min="269" max="277" width="0" style="352" hidden="1" customWidth="1"/>
    <col min="278" max="278" width="10.44140625" style="352" customWidth="1"/>
    <col min="279" max="510" width="8.88671875" style="352"/>
    <col min="511" max="511" width="63.5546875" style="352" bestFit="1" customWidth="1"/>
    <col min="512" max="512" width="10.6640625" style="352" bestFit="1" customWidth="1"/>
    <col min="513" max="523" width="0" style="352" hidden="1" customWidth="1"/>
    <col min="524" max="524" width="14.88671875" style="352" bestFit="1" customWidth="1"/>
    <col min="525" max="533" width="0" style="352" hidden="1" customWidth="1"/>
    <col min="534" max="534" width="10.44140625" style="352" customWidth="1"/>
    <col min="535" max="766" width="8.88671875" style="352"/>
    <col min="767" max="767" width="63.5546875" style="352" bestFit="1" customWidth="1"/>
    <col min="768" max="768" width="10.6640625" style="352" bestFit="1" customWidth="1"/>
    <col min="769" max="779" width="0" style="352" hidden="1" customWidth="1"/>
    <col min="780" max="780" width="14.88671875" style="352" bestFit="1" customWidth="1"/>
    <col min="781" max="789" width="0" style="352" hidden="1" customWidth="1"/>
    <col min="790" max="790" width="10.44140625" style="352" customWidth="1"/>
    <col min="791" max="1022" width="8.88671875" style="352"/>
    <col min="1023" max="1023" width="63.5546875" style="352" bestFit="1" customWidth="1"/>
    <col min="1024" max="1024" width="10.6640625" style="352" bestFit="1" customWidth="1"/>
    <col min="1025" max="1035" width="0" style="352" hidden="1" customWidth="1"/>
    <col min="1036" max="1036" width="14.88671875" style="352" bestFit="1" customWidth="1"/>
    <col min="1037" max="1045" width="0" style="352" hidden="1" customWidth="1"/>
    <col min="1046" max="1046" width="10.44140625" style="352" customWidth="1"/>
    <col min="1047" max="1278" width="8.88671875" style="352"/>
    <col min="1279" max="1279" width="63.5546875" style="352" bestFit="1" customWidth="1"/>
    <col min="1280" max="1280" width="10.6640625" style="352" bestFit="1" customWidth="1"/>
    <col min="1281" max="1291" width="0" style="352" hidden="1" customWidth="1"/>
    <col min="1292" max="1292" width="14.88671875" style="352" bestFit="1" customWidth="1"/>
    <col min="1293" max="1301" width="0" style="352" hidden="1" customWidth="1"/>
    <col min="1302" max="1302" width="10.44140625" style="352" customWidth="1"/>
    <col min="1303" max="1534" width="8.88671875" style="352"/>
    <col min="1535" max="1535" width="63.5546875" style="352" bestFit="1" customWidth="1"/>
    <col min="1536" max="1536" width="10.6640625" style="352" bestFit="1" customWidth="1"/>
    <col min="1537" max="1547" width="0" style="352" hidden="1" customWidth="1"/>
    <col min="1548" max="1548" width="14.88671875" style="352" bestFit="1" customWidth="1"/>
    <col min="1549" max="1557" width="0" style="352" hidden="1" customWidth="1"/>
    <col min="1558" max="1558" width="10.44140625" style="352" customWidth="1"/>
    <col min="1559" max="1790" width="8.88671875" style="352"/>
    <col min="1791" max="1791" width="63.5546875" style="352" bestFit="1" customWidth="1"/>
    <col min="1792" max="1792" width="10.6640625" style="352" bestFit="1" customWidth="1"/>
    <col min="1793" max="1803" width="0" style="352" hidden="1" customWidth="1"/>
    <col min="1804" max="1804" width="14.88671875" style="352" bestFit="1" customWidth="1"/>
    <col min="1805" max="1813" width="0" style="352" hidden="1" customWidth="1"/>
    <col min="1814" max="1814" width="10.44140625" style="352" customWidth="1"/>
    <col min="1815" max="2046" width="8.88671875" style="352"/>
    <col min="2047" max="2047" width="63.5546875" style="352" bestFit="1" customWidth="1"/>
    <col min="2048" max="2048" width="10.6640625" style="352" bestFit="1" customWidth="1"/>
    <col min="2049" max="2059" width="0" style="352" hidden="1" customWidth="1"/>
    <col min="2060" max="2060" width="14.88671875" style="352" bestFit="1" customWidth="1"/>
    <col min="2061" max="2069" width="0" style="352" hidden="1" customWidth="1"/>
    <col min="2070" max="2070" width="10.44140625" style="352" customWidth="1"/>
    <col min="2071" max="2302" width="8.88671875" style="352"/>
    <col min="2303" max="2303" width="63.5546875" style="352" bestFit="1" customWidth="1"/>
    <col min="2304" max="2304" width="10.6640625" style="352" bestFit="1" customWidth="1"/>
    <col min="2305" max="2315" width="0" style="352" hidden="1" customWidth="1"/>
    <col min="2316" max="2316" width="14.88671875" style="352" bestFit="1" customWidth="1"/>
    <col min="2317" max="2325" width="0" style="352" hidden="1" customWidth="1"/>
    <col min="2326" max="2326" width="10.44140625" style="352" customWidth="1"/>
    <col min="2327" max="2558" width="8.88671875" style="352"/>
    <col min="2559" max="2559" width="63.5546875" style="352" bestFit="1" customWidth="1"/>
    <col min="2560" max="2560" width="10.6640625" style="352" bestFit="1" customWidth="1"/>
    <col min="2561" max="2571" width="0" style="352" hidden="1" customWidth="1"/>
    <col min="2572" max="2572" width="14.88671875" style="352" bestFit="1" customWidth="1"/>
    <col min="2573" max="2581" width="0" style="352" hidden="1" customWidth="1"/>
    <col min="2582" max="2582" width="10.44140625" style="352" customWidth="1"/>
    <col min="2583" max="2814" width="8.88671875" style="352"/>
    <col min="2815" max="2815" width="63.5546875" style="352" bestFit="1" customWidth="1"/>
    <col min="2816" max="2816" width="10.6640625" style="352" bestFit="1" customWidth="1"/>
    <col min="2817" max="2827" width="0" style="352" hidden="1" customWidth="1"/>
    <col min="2828" max="2828" width="14.88671875" style="352" bestFit="1" customWidth="1"/>
    <col min="2829" max="2837" width="0" style="352" hidden="1" customWidth="1"/>
    <col min="2838" max="2838" width="10.44140625" style="352" customWidth="1"/>
    <col min="2839" max="3070" width="8.88671875" style="352"/>
    <col min="3071" max="3071" width="63.5546875" style="352" bestFit="1" customWidth="1"/>
    <col min="3072" max="3072" width="10.6640625" style="352" bestFit="1" customWidth="1"/>
    <col min="3073" max="3083" width="0" style="352" hidden="1" customWidth="1"/>
    <col min="3084" max="3084" width="14.88671875" style="352" bestFit="1" customWidth="1"/>
    <col min="3085" max="3093" width="0" style="352" hidden="1" customWidth="1"/>
    <col min="3094" max="3094" width="10.44140625" style="352" customWidth="1"/>
    <col min="3095" max="3326" width="8.88671875" style="352"/>
    <col min="3327" max="3327" width="63.5546875" style="352" bestFit="1" customWidth="1"/>
    <col min="3328" max="3328" width="10.6640625" style="352" bestFit="1" customWidth="1"/>
    <col min="3329" max="3339" width="0" style="352" hidden="1" customWidth="1"/>
    <col min="3340" max="3340" width="14.88671875" style="352" bestFit="1" customWidth="1"/>
    <col min="3341" max="3349" width="0" style="352" hidden="1" customWidth="1"/>
    <col min="3350" max="3350" width="10.44140625" style="352" customWidth="1"/>
    <col min="3351" max="3582" width="8.88671875" style="352"/>
    <col min="3583" max="3583" width="63.5546875" style="352" bestFit="1" customWidth="1"/>
    <col min="3584" max="3584" width="10.6640625" style="352" bestFit="1" customWidth="1"/>
    <col min="3585" max="3595" width="0" style="352" hidden="1" customWidth="1"/>
    <col min="3596" max="3596" width="14.88671875" style="352" bestFit="1" customWidth="1"/>
    <col min="3597" max="3605" width="0" style="352" hidden="1" customWidth="1"/>
    <col min="3606" max="3606" width="10.44140625" style="352" customWidth="1"/>
    <col min="3607" max="3838" width="8.88671875" style="352"/>
    <col min="3839" max="3839" width="63.5546875" style="352" bestFit="1" customWidth="1"/>
    <col min="3840" max="3840" width="10.6640625" style="352" bestFit="1" customWidth="1"/>
    <col min="3841" max="3851" width="0" style="352" hidden="1" customWidth="1"/>
    <col min="3852" max="3852" width="14.88671875" style="352" bestFit="1" customWidth="1"/>
    <col min="3853" max="3861" width="0" style="352" hidden="1" customWidth="1"/>
    <col min="3862" max="3862" width="10.44140625" style="352" customWidth="1"/>
    <col min="3863" max="4094" width="8.88671875" style="352"/>
    <col min="4095" max="4095" width="63.5546875" style="352" bestFit="1" customWidth="1"/>
    <col min="4096" max="4096" width="10.6640625" style="352" bestFit="1" customWidth="1"/>
    <col min="4097" max="4107" width="0" style="352" hidden="1" customWidth="1"/>
    <col min="4108" max="4108" width="14.88671875" style="352" bestFit="1" customWidth="1"/>
    <col min="4109" max="4117" width="0" style="352" hidden="1" customWidth="1"/>
    <col min="4118" max="4118" width="10.44140625" style="352" customWidth="1"/>
    <col min="4119" max="4350" width="8.88671875" style="352"/>
    <col min="4351" max="4351" width="63.5546875" style="352" bestFit="1" customWidth="1"/>
    <col min="4352" max="4352" width="10.6640625" style="352" bestFit="1" customWidth="1"/>
    <col min="4353" max="4363" width="0" style="352" hidden="1" customWidth="1"/>
    <col min="4364" max="4364" width="14.88671875" style="352" bestFit="1" customWidth="1"/>
    <col min="4365" max="4373" width="0" style="352" hidden="1" customWidth="1"/>
    <col min="4374" max="4374" width="10.44140625" style="352" customWidth="1"/>
    <col min="4375" max="4606" width="8.88671875" style="352"/>
    <col min="4607" max="4607" width="63.5546875" style="352" bestFit="1" customWidth="1"/>
    <col min="4608" max="4608" width="10.6640625" style="352" bestFit="1" customWidth="1"/>
    <col min="4609" max="4619" width="0" style="352" hidden="1" customWidth="1"/>
    <col min="4620" max="4620" width="14.88671875" style="352" bestFit="1" customWidth="1"/>
    <col min="4621" max="4629" width="0" style="352" hidden="1" customWidth="1"/>
    <col min="4630" max="4630" width="10.44140625" style="352" customWidth="1"/>
    <col min="4631" max="4862" width="8.88671875" style="352"/>
    <col min="4863" max="4863" width="63.5546875" style="352" bestFit="1" customWidth="1"/>
    <col min="4864" max="4864" width="10.6640625" style="352" bestFit="1" customWidth="1"/>
    <col min="4865" max="4875" width="0" style="352" hidden="1" customWidth="1"/>
    <col min="4876" max="4876" width="14.88671875" style="352" bestFit="1" customWidth="1"/>
    <col min="4877" max="4885" width="0" style="352" hidden="1" customWidth="1"/>
    <col min="4886" max="4886" width="10.44140625" style="352" customWidth="1"/>
    <col min="4887" max="5118" width="8.88671875" style="352"/>
    <col min="5119" max="5119" width="63.5546875" style="352" bestFit="1" customWidth="1"/>
    <col min="5120" max="5120" width="10.6640625" style="352" bestFit="1" customWidth="1"/>
    <col min="5121" max="5131" width="0" style="352" hidden="1" customWidth="1"/>
    <col min="5132" max="5132" width="14.88671875" style="352" bestFit="1" customWidth="1"/>
    <col min="5133" max="5141" width="0" style="352" hidden="1" customWidth="1"/>
    <col min="5142" max="5142" width="10.44140625" style="352" customWidth="1"/>
    <col min="5143" max="5374" width="8.88671875" style="352"/>
    <col min="5375" max="5375" width="63.5546875" style="352" bestFit="1" customWidth="1"/>
    <col min="5376" max="5376" width="10.6640625" style="352" bestFit="1" customWidth="1"/>
    <col min="5377" max="5387" width="0" style="352" hidden="1" customWidth="1"/>
    <col min="5388" max="5388" width="14.88671875" style="352" bestFit="1" customWidth="1"/>
    <col min="5389" max="5397" width="0" style="352" hidden="1" customWidth="1"/>
    <col min="5398" max="5398" width="10.44140625" style="352" customWidth="1"/>
    <col min="5399" max="5630" width="8.88671875" style="352"/>
    <col min="5631" max="5631" width="63.5546875" style="352" bestFit="1" customWidth="1"/>
    <col min="5632" max="5632" width="10.6640625" style="352" bestFit="1" customWidth="1"/>
    <col min="5633" max="5643" width="0" style="352" hidden="1" customWidth="1"/>
    <col min="5644" max="5644" width="14.88671875" style="352" bestFit="1" customWidth="1"/>
    <col min="5645" max="5653" width="0" style="352" hidden="1" customWidth="1"/>
    <col min="5654" max="5654" width="10.44140625" style="352" customWidth="1"/>
    <col min="5655" max="5886" width="8.88671875" style="352"/>
    <col min="5887" max="5887" width="63.5546875" style="352" bestFit="1" customWidth="1"/>
    <col min="5888" max="5888" width="10.6640625" style="352" bestFit="1" customWidth="1"/>
    <col min="5889" max="5899" width="0" style="352" hidden="1" customWidth="1"/>
    <col min="5900" max="5900" width="14.88671875" style="352" bestFit="1" customWidth="1"/>
    <col min="5901" max="5909" width="0" style="352" hidden="1" customWidth="1"/>
    <col min="5910" max="5910" width="10.44140625" style="352" customWidth="1"/>
    <col min="5911" max="6142" width="8.88671875" style="352"/>
    <col min="6143" max="6143" width="63.5546875" style="352" bestFit="1" customWidth="1"/>
    <col min="6144" max="6144" width="10.6640625" style="352" bestFit="1" customWidth="1"/>
    <col min="6145" max="6155" width="0" style="352" hidden="1" customWidth="1"/>
    <col min="6156" max="6156" width="14.88671875" style="352" bestFit="1" customWidth="1"/>
    <col min="6157" max="6165" width="0" style="352" hidden="1" customWidth="1"/>
    <col min="6166" max="6166" width="10.44140625" style="352" customWidth="1"/>
    <col min="6167" max="6398" width="8.88671875" style="352"/>
    <col min="6399" max="6399" width="63.5546875" style="352" bestFit="1" customWidth="1"/>
    <col min="6400" max="6400" width="10.6640625" style="352" bestFit="1" customWidth="1"/>
    <col min="6401" max="6411" width="0" style="352" hidden="1" customWidth="1"/>
    <col min="6412" max="6412" width="14.88671875" style="352" bestFit="1" customWidth="1"/>
    <col min="6413" max="6421" width="0" style="352" hidden="1" customWidth="1"/>
    <col min="6422" max="6422" width="10.44140625" style="352" customWidth="1"/>
    <col min="6423" max="6654" width="8.88671875" style="352"/>
    <col min="6655" max="6655" width="63.5546875" style="352" bestFit="1" customWidth="1"/>
    <col min="6656" max="6656" width="10.6640625" style="352" bestFit="1" customWidth="1"/>
    <col min="6657" max="6667" width="0" style="352" hidden="1" customWidth="1"/>
    <col min="6668" max="6668" width="14.88671875" style="352" bestFit="1" customWidth="1"/>
    <col min="6669" max="6677" width="0" style="352" hidden="1" customWidth="1"/>
    <col min="6678" max="6678" width="10.44140625" style="352" customWidth="1"/>
    <col min="6679" max="6910" width="8.88671875" style="352"/>
    <col min="6911" max="6911" width="63.5546875" style="352" bestFit="1" customWidth="1"/>
    <col min="6912" max="6912" width="10.6640625" style="352" bestFit="1" customWidth="1"/>
    <col min="6913" max="6923" width="0" style="352" hidden="1" customWidth="1"/>
    <col min="6924" max="6924" width="14.88671875" style="352" bestFit="1" customWidth="1"/>
    <col min="6925" max="6933" width="0" style="352" hidden="1" customWidth="1"/>
    <col min="6934" max="6934" width="10.44140625" style="352" customWidth="1"/>
    <col min="6935" max="7166" width="8.88671875" style="352"/>
    <col min="7167" max="7167" width="63.5546875" style="352" bestFit="1" customWidth="1"/>
    <col min="7168" max="7168" width="10.6640625" style="352" bestFit="1" customWidth="1"/>
    <col min="7169" max="7179" width="0" style="352" hidden="1" customWidth="1"/>
    <col min="7180" max="7180" width="14.88671875" style="352" bestFit="1" customWidth="1"/>
    <col min="7181" max="7189" width="0" style="352" hidden="1" customWidth="1"/>
    <col min="7190" max="7190" width="10.44140625" style="352" customWidth="1"/>
    <col min="7191" max="7422" width="8.88671875" style="352"/>
    <col min="7423" max="7423" width="63.5546875" style="352" bestFit="1" customWidth="1"/>
    <col min="7424" max="7424" width="10.6640625" style="352" bestFit="1" customWidth="1"/>
    <col min="7425" max="7435" width="0" style="352" hidden="1" customWidth="1"/>
    <col min="7436" max="7436" width="14.88671875" style="352" bestFit="1" customWidth="1"/>
    <col min="7437" max="7445" width="0" style="352" hidden="1" customWidth="1"/>
    <col min="7446" max="7446" width="10.44140625" style="352" customWidth="1"/>
    <col min="7447" max="7678" width="8.88671875" style="352"/>
    <col min="7679" max="7679" width="63.5546875" style="352" bestFit="1" customWidth="1"/>
    <col min="7680" max="7680" width="10.6640625" style="352" bestFit="1" customWidth="1"/>
    <col min="7681" max="7691" width="0" style="352" hidden="1" customWidth="1"/>
    <col min="7692" max="7692" width="14.88671875" style="352" bestFit="1" customWidth="1"/>
    <col min="7693" max="7701" width="0" style="352" hidden="1" customWidth="1"/>
    <col min="7702" max="7702" width="10.44140625" style="352" customWidth="1"/>
    <col min="7703" max="7934" width="8.88671875" style="352"/>
    <col min="7935" max="7935" width="63.5546875" style="352" bestFit="1" customWidth="1"/>
    <col min="7936" max="7936" width="10.6640625" style="352" bestFit="1" customWidth="1"/>
    <col min="7937" max="7947" width="0" style="352" hidden="1" customWidth="1"/>
    <col min="7948" max="7948" width="14.88671875" style="352" bestFit="1" customWidth="1"/>
    <col min="7949" max="7957" width="0" style="352" hidden="1" customWidth="1"/>
    <col min="7958" max="7958" width="10.44140625" style="352" customWidth="1"/>
    <col min="7959" max="8190" width="8.88671875" style="352"/>
    <col min="8191" max="8191" width="63.5546875" style="352" bestFit="1" customWidth="1"/>
    <col min="8192" max="8192" width="10.6640625" style="352" bestFit="1" customWidth="1"/>
    <col min="8193" max="8203" width="0" style="352" hidden="1" customWidth="1"/>
    <col min="8204" max="8204" width="14.88671875" style="352" bestFit="1" customWidth="1"/>
    <col min="8205" max="8213" width="0" style="352" hidden="1" customWidth="1"/>
    <col min="8214" max="8214" width="10.44140625" style="352" customWidth="1"/>
    <col min="8215" max="8446" width="8.88671875" style="352"/>
    <col min="8447" max="8447" width="63.5546875" style="352" bestFit="1" customWidth="1"/>
    <col min="8448" max="8448" width="10.6640625" style="352" bestFit="1" customWidth="1"/>
    <col min="8449" max="8459" width="0" style="352" hidden="1" customWidth="1"/>
    <col min="8460" max="8460" width="14.88671875" style="352" bestFit="1" customWidth="1"/>
    <col min="8461" max="8469" width="0" style="352" hidden="1" customWidth="1"/>
    <col min="8470" max="8470" width="10.44140625" style="352" customWidth="1"/>
    <col min="8471" max="8702" width="8.88671875" style="352"/>
    <col min="8703" max="8703" width="63.5546875" style="352" bestFit="1" customWidth="1"/>
    <col min="8704" max="8704" width="10.6640625" style="352" bestFit="1" customWidth="1"/>
    <col min="8705" max="8715" width="0" style="352" hidden="1" customWidth="1"/>
    <col min="8716" max="8716" width="14.88671875" style="352" bestFit="1" customWidth="1"/>
    <col min="8717" max="8725" width="0" style="352" hidden="1" customWidth="1"/>
    <col min="8726" max="8726" width="10.44140625" style="352" customWidth="1"/>
    <col min="8727" max="8958" width="8.88671875" style="352"/>
    <col min="8959" max="8959" width="63.5546875" style="352" bestFit="1" customWidth="1"/>
    <col min="8960" max="8960" width="10.6640625" style="352" bestFit="1" customWidth="1"/>
    <col min="8961" max="8971" width="0" style="352" hidden="1" customWidth="1"/>
    <col min="8972" max="8972" width="14.88671875" style="352" bestFit="1" customWidth="1"/>
    <col min="8973" max="8981" width="0" style="352" hidden="1" customWidth="1"/>
    <col min="8982" max="8982" width="10.44140625" style="352" customWidth="1"/>
    <col min="8983" max="9214" width="8.88671875" style="352"/>
    <col min="9215" max="9215" width="63.5546875" style="352" bestFit="1" customWidth="1"/>
    <col min="9216" max="9216" width="10.6640625" style="352" bestFit="1" customWidth="1"/>
    <col min="9217" max="9227" width="0" style="352" hidden="1" customWidth="1"/>
    <col min="9228" max="9228" width="14.88671875" style="352" bestFit="1" customWidth="1"/>
    <col min="9229" max="9237" width="0" style="352" hidden="1" customWidth="1"/>
    <col min="9238" max="9238" width="10.44140625" style="352" customWidth="1"/>
    <col min="9239" max="9470" width="8.88671875" style="352"/>
    <col min="9471" max="9471" width="63.5546875" style="352" bestFit="1" customWidth="1"/>
    <col min="9472" max="9472" width="10.6640625" style="352" bestFit="1" customWidth="1"/>
    <col min="9473" max="9483" width="0" style="352" hidden="1" customWidth="1"/>
    <col min="9484" max="9484" width="14.88671875" style="352" bestFit="1" customWidth="1"/>
    <col min="9485" max="9493" width="0" style="352" hidden="1" customWidth="1"/>
    <col min="9494" max="9494" width="10.44140625" style="352" customWidth="1"/>
    <col min="9495" max="9726" width="8.88671875" style="352"/>
    <col min="9727" max="9727" width="63.5546875" style="352" bestFit="1" customWidth="1"/>
    <col min="9728" max="9728" width="10.6640625" style="352" bestFit="1" customWidth="1"/>
    <col min="9729" max="9739" width="0" style="352" hidden="1" customWidth="1"/>
    <col min="9740" max="9740" width="14.88671875" style="352" bestFit="1" customWidth="1"/>
    <col min="9741" max="9749" width="0" style="352" hidden="1" customWidth="1"/>
    <col min="9750" max="9750" width="10.44140625" style="352" customWidth="1"/>
    <col min="9751" max="9982" width="8.88671875" style="352"/>
    <col min="9983" max="9983" width="63.5546875" style="352" bestFit="1" customWidth="1"/>
    <col min="9984" max="9984" width="10.6640625" style="352" bestFit="1" customWidth="1"/>
    <col min="9985" max="9995" width="0" style="352" hidden="1" customWidth="1"/>
    <col min="9996" max="9996" width="14.88671875" style="352" bestFit="1" customWidth="1"/>
    <col min="9997" max="10005" width="0" style="352" hidden="1" customWidth="1"/>
    <col min="10006" max="10006" width="10.44140625" style="352" customWidth="1"/>
    <col min="10007" max="10238" width="8.88671875" style="352"/>
    <col min="10239" max="10239" width="63.5546875" style="352" bestFit="1" customWidth="1"/>
    <col min="10240" max="10240" width="10.6640625" style="352" bestFit="1" customWidth="1"/>
    <col min="10241" max="10251" width="0" style="352" hidden="1" customWidth="1"/>
    <col min="10252" max="10252" width="14.88671875" style="352" bestFit="1" customWidth="1"/>
    <col min="10253" max="10261" width="0" style="352" hidden="1" customWidth="1"/>
    <col min="10262" max="10262" width="10.44140625" style="352" customWidth="1"/>
    <col min="10263" max="10494" width="8.88671875" style="352"/>
    <col min="10495" max="10495" width="63.5546875" style="352" bestFit="1" customWidth="1"/>
    <col min="10496" max="10496" width="10.6640625" style="352" bestFit="1" customWidth="1"/>
    <col min="10497" max="10507" width="0" style="352" hidden="1" customWidth="1"/>
    <col min="10508" max="10508" width="14.88671875" style="352" bestFit="1" customWidth="1"/>
    <col min="10509" max="10517" width="0" style="352" hidden="1" customWidth="1"/>
    <col min="10518" max="10518" width="10.44140625" style="352" customWidth="1"/>
    <col min="10519" max="10750" width="8.88671875" style="352"/>
    <col min="10751" max="10751" width="63.5546875" style="352" bestFit="1" customWidth="1"/>
    <col min="10752" max="10752" width="10.6640625" style="352" bestFit="1" customWidth="1"/>
    <col min="10753" max="10763" width="0" style="352" hidden="1" customWidth="1"/>
    <col min="10764" max="10764" width="14.88671875" style="352" bestFit="1" customWidth="1"/>
    <col min="10765" max="10773" width="0" style="352" hidden="1" customWidth="1"/>
    <col min="10774" max="10774" width="10.44140625" style="352" customWidth="1"/>
    <col min="10775" max="11006" width="8.88671875" style="352"/>
    <col min="11007" max="11007" width="63.5546875" style="352" bestFit="1" customWidth="1"/>
    <col min="11008" max="11008" width="10.6640625" style="352" bestFit="1" customWidth="1"/>
    <col min="11009" max="11019" width="0" style="352" hidden="1" customWidth="1"/>
    <col min="11020" max="11020" width="14.88671875" style="352" bestFit="1" customWidth="1"/>
    <col min="11021" max="11029" width="0" style="352" hidden="1" customWidth="1"/>
    <col min="11030" max="11030" width="10.44140625" style="352" customWidth="1"/>
    <col min="11031" max="11262" width="8.88671875" style="352"/>
    <col min="11263" max="11263" width="63.5546875" style="352" bestFit="1" customWidth="1"/>
    <col min="11264" max="11264" width="10.6640625" style="352" bestFit="1" customWidth="1"/>
    <col min="11265" max="11275" width="0" style="352" hidden="1" customWidth="1"/>
    <col min="11276" max="11276" width="14.88671875" style="352" bestFit="1" customWidth="1"/>
    <col min="11277" max="11285" width="0" style="352" hidden="1" customWidth="1"/>
    <col min="11286" max="11286" width="10.44140625" style="352" customWidth="1"/>
    <col min="11287" max="11518" width="8.88671875" style="352"/>
    <col min="11519" max="11519" width="63.5546875" style="352" bestFit="1" customWidth="1"/>
    <col min="11520" max="11520" width="10.6640625" style="352" bestFit="1" customWidth="1"/>
    <col min="11521" max="11531" width="0" style="352" hidden="1" customWidth="1"/>
    <col min="11532" max="11532" width="14.88671875" style="352" bestFit="1" customWidth="1"/>
    <col min="11533" max="11541" width="0" style="352" hidden="1" customWidth="1"/>
    <col min="11542" max="11542" width="10.44140625" style="352" customWidth="1"/>
    <col min="11543" max="11774" width="8.88671875" style="352"/>
    <col min="11775" max="11775" width="63.5546875" style="352" bestFit="1" customWidth="1"/>
    <col min="11776" max="11776" width="10.6640625" style="352" bestFit="1" customWidth="1"/>
    <col min="11777" max="11787" width="0" style="352" hidden="1" customWidth="1"/>
    <col min="11788" max="11788" width="14.88671875" style="352" bestFit="1" customWidth="1"/>
    <col min="11789" max="11797" width="0" style="352" hidden="1" customWidth="1"/>
    <col min="11798" max="11798" width="10.44140625" style="352" customWidth="1"/>
    <col min="11799" max="12030" width="8.88671875" style="352"/>
    <col min="12031" max="12031" width="63.5546875" style="352" bestFit="1" customWidth="1"/>
    <col min="12032" max="12032" width="10.6640625" style="352" bestFit="1" customWidth="1"/>
    <col min="12033" max="12043" width="0" style="352" hidden="1" customWidth="1"/>
    <col min="12044" max="12044" width="14.88671875" style="352" bestFit="1" customWidth="1"/>
    <col min="12045" max="12053" width="0" style="352" hidden="1" customWidth="1"/>
    <col min="12054" max="12054" width="10.44140625" style="352" customWidth="1"/>
    <col min="12055" max="12286" width="8.88671875" style="352"/>
    <col min="12287" max="12287" width="63.5546875" style="352" bestFit="1" customWidth="1"/>
    <col min="12288" max="12288" width="10.6640625" style="352" bestFit="1" customWidth="1"/>
    <col min="12289" max="12299" width="0" style="352" hidden="1" customWidth="1"/>
    <col min="12300" max="12300" width="14.88671875" style="352" bestFit="1" customWidth="1"/>
    <col min="12301" max="12309" width="0" style="352" hidden="1" customWidth="1"/>
    <col min="12310" max="12310" width="10.44140625" style="352" customWidth="1"/>
    <col min="12311" max="12542" width="8.88671875" style="352"/>
    <col min="12543" max="12543" width="63.5546875" style="352" bestFit="1" customWidth="1"/>
    <col min="12544" max="12544" width="10.6640625" style="352" bestFit="1" customWidth="1"/>
    <col min="12545" max="12555" width="0" style="352" hidden="1" customWidth="1"/>
    <col min="12556" max="12556" width="14.88671875" style="352" bestFit="1" customWidth="1"/>
    <col min="12557" max="12565" width="0" style="352" hidden="1" customWidth="1"/>
    <col min="12566" max="12566" width="10.44140625" style="352" customWidth="1"/>
    <col min="12567" max="12798" width="8.88671875" style="352"/>
    <col min="12799" max="12799" width="63.5546875" style="352" bestFit="1" customWidth="1"/>
    <col min="12800" max="12800" width="10.6640625" style="352" bestFit="1" customWidth="1"/>
    <col min="12801" max="12811" width="0" style="352" hidden="1" customWidth="1"/>
    <col min="12812" max="12812" width="14.88671875" style="352" bestFit="1" customWidth="1"/>
    <col min="12813" max="12821" width="0" style="352" hidden="1" customWidth="1"/>
    <col min="12822" max="12822" width="10.44140625" style="352" customWidth="1"/>
    <col min="12823" max="13054" width="8.88671875" style="352"/>
    <col min="13055" max="13055" width="63.5546875" style="352" bestFit="1" customWidth="1"/>
    <col min="13056" max="13056" width="10.6640625" style="352" bestFit="1" customWidth="1"/>
    <col min="13057" max="13067" width="0" style="352" hidden="1" customWidth="1"/>
    <col min="13068" max="13068" width="14.88671875" style="352" bestFit="1" customWidth="1"/>
    <col min="13069" max="13077" width="0" style="352" hidden="1" customWidth="1"/>
    <col min="13078" max="13078" width="10.44140625" style="352" customWidth="1"/>
    <col min="13079" max="13310" width="8.88671875" style="352"/>
    <col min="13311" max="13311" width="63.5546875" style="352" bestFit="1" customWidth="1"/>
    <col min="13312" max="13312" width="10.6640625" style="352" bestFit="1" customWidth="1"/>
    <col min="13313" max="13323" width="0" style="352" hidden="1" customWidth="1"/>
    <col min="13324" max="13324" width="14.88671875" style="352" bestFit="1" customWidth="1"/>
    <col min="13325" max="13333" width="0" style="352" hidden="1" customWidth="1"/>
    <col min="13334" max="13334" width="10.44140625" style="352" customWidth="1"/>
    <col min="13335" max="13566" width="8.88671875" style="352"/>
    <col min="13567" max="13567" width="63.5546875" style="352" bestFit="1" customWidth="1"/>
    <col min="13568" max="13568" width="10.6640625" style="352" bestFit="1" customWidth="1"/>
    <col min="13569" max="13579" width="0" style="352" hidden="1" customWidth="1"/>
    <col min="13580" max="13580" width="14.88671875" style="352" bestFit="1" customWidth="1"/>
    <col min="13581" max="13589" width="0" style="352" hidden="1" customWidth="1"/>
    <col min="13590" max="13590" width="10.44140625" style="352" customWidth="1"/>
    <col min="13591" max="13822" width="8.88671875" style="352"/>
    <col min="13823" max="13823" width="63.5546875" style="352" bestFit="1" customWidth="1"/>
    <col min="13824" max="13824" width="10.6640625" style="352" bestFit="1" customWidth="1"/>
    <col min="13825" max="13835" width="0" style="352" hidden="1" customWidth="1"/>
    <col min="13836" max="13836" width="14.88671875" style="352" bestFit="1" customWidth="1"/>
    <col min="13837" max="13845" width="0" style="352" hidden="1" customWidth="1"/>
    <col min="13846" max="13846" width="10.44140625" style="352" customWidth="1"/>
    <col min="13847" max="14078" width="8.88671875" style="352"/>
    <col min="14079" max="14079" width="63.5546875" style="352" bestFit="1" customWidth="1"/>
    <col min="14080" max="14080" width="10.6640625" style="352" bestFit="1" customWidth="1"/>
    <col min="14081" max="14091" width="0" style="352" hidden="1" customWidth="1"/>
    <col min="14092" max="14092" width="14.88671875" style="352" bestFit="1" customWidth="1"/>
    <col min="14093" max="14101" width="0" style="352" hidden="1" customWidth="1"/>
    <col min="14102" max="14102" width="10.44140625" style="352" customWidth="1"/>
    <col min="14103" max="14334" width="8.88671875" style="352"/>
    <col min="14335" max="14335" width="63.5546875" style="352" bestFit="1" customWidth="1"/>
    <col min="14336" max="14336" width="10.6640625" style="352" bestFit="1" customWidth="1"/>
    <col min="14337" max="14347" width="0" style="352" hidden="1" customWidth="1"/>
    <col min="14348" max="14348" width="14.88671875" style="352" bestFit="1" customWidth="1"/>
    <col min="14349" max="14357" width="0" style="352" hidden="1" customWidth="1"/>
    <col min="14358" max="14358" width="10.44140625" style="352" customWidth="1"/>
    <col min="14359" max="14590" width="8.88671875" style="352"/>
    <col min="14591" max="14591" width="63.5546875" style="352" bestFit="1" customWidth="1"/>
    <col min="14592" max="14592" width="10.6640625" style="352" bestFit="1" customWidth="1"/>
    <col min="14593" max="14603" width="0" style="352" hidden="1" customWidth="1"/>
    <col min="14604" max="14604" width="14.88671875" style="352" bestFit="1" customWidth="1"/>
    <col min="14605" max="14613" width="0" style="352" hidden="1" customWidth="1"/>
    <col min="14614" max="14614" width="10.44140625" style="352" customWidth="1"/>
    <col min="14615" max="14846" width="8.88671875" style="352"/>
    <col min="14847" max="14847" width="63.5546875" style="352" bestFit="1" customWidth="1"/>
    <col min="14848" max="14848" width="10.6640625" style="352" bestFit="1" customWidth="1"/>
    <col min="14849" max="14859" width="0" style="352" hidden="1" customWidth="1"/>
    <col min="14860" max="14860" width="14.88671875" style="352" bestFit="1" customWidth="1"/>
    <col min="14861" max="14869" width="0" style="352" hidden="1" customWidth="1"/>
    <col min="14870" max="14870" width="10.44140625" style="352" customWidth="1"/>
    <col min="14871" max="15102" width="8.88671875" style="352"/>
    <col min="15103" max="15103" width="63.5546875" style="352" bestFit="1" customWidth="1"/>
    <col min="15104" max="15104" width="10.6640625" style="352" bestFit="1" customWidth="1"/>
    <col min="15105" max="15115" width="0" style="352" hidden="1" customWidth="1"/>
    <col min="15116" max="15116" width="14.88671875" style="352" bestFit="1" customWidth="1"/>
    <col min="15117" max="15125" width="0" style="352" hidden="1" customWidth="1"/>
    <col min="15126" max="15126" width="10.44140625" style="352" customWidth="1"/>
    <col min="15127" max="15358" width="8.88671875" style="352"/>
    <col min="15359" max="15359" width="63.5546875" style="352" bestFit="1" customWidth="1"/>
    <col min="15360" max="15360" width="10.6640625" style="352" bestFit="1" customWidth="1"/>
    <col min="15361" max="15371" width="0" style="352" hidden="1" customWidth="1"/>
    <col min="15372" max="15372" width="14.88671875" style="352" bestFit="1" customWidth="1"/>
    <col min="15373" max="15381" width="0" style="352" hidden="1" customWidth="1"/>
    <col min="15382" max="15382" width="10.44140625" style="352" customWidth="1"/>
    <col min="15383" max="15614" width="8.88671875" style="352"/>
    <col min="15615" max="15615" width="63.5546875" style="352" bestFit="1" customWidth="1"/>
    <col min="15616" max="15616" width="10.6640625" style="352" bestFit="1" customWidth="1"/>
    <col min="15617" max="15627" width="0" style="352" hidden="1" customWidth="1"/>
    <col min="15628" max="15628" width="14.88671875" style="352" bestFit="1" customWidth="1"/>
    <col min="15629" max="15637" width="0" style="352" hidden="1" customWidth="1"/>
    <col min="15638" max="15638" width="10.44140625" style="352" customWidth="1"/>
    <col min="15639" max="15870" width="8.88671875" style="352"/>
    <col min="15871" max="15871" width="63.5546875" style="352" bestFit="1" customWidth="1"/>
    <col min="15872" max="15872" width="10.6640625" style="352" bestFit="1" customWidth="1"/>
    <col min="15873" max="15883" width="0" style="352" hidden="1" customWidth="1"/>
    <col min="15884" max="15884" width="14.88671875" style="352" bestFit="1" customWidth="1"/>
    <col min="15885" max="15893" width="0" style="352" hidden="1" customWidth="1"/>
    <col min="15894" max="15894" width="10.44140625" style="352" customWidth="1"/>
    <col min="15895" max="16126" width="8.88671875" style="352"/>
    <col min="16127" max="16127" width="63.5546875" style="352" bestFit="1" customWidth="1"/>
    <col min="16128" max="16128" width="10.6640625" style="352" bestFit="1" customWidth="1"/>
    <col min="16129" max="16139" width="0" style="352" hidden="1" customWidth="1"/>
    <col min="16140" max="16140" width="14.88671875" style="352" bestFit="1" customWidth="1"/>
    <col min="16141" max="16149" width="0" style="352" hidden="1" customWidth="1"/>
    <col min="16150" max="16150" width="10.44140625" style="352" customWidth="1"/>
    <col min="16151" max="16382" width="8.88671875" style="352"/>
    <col min="16383" max="16384" width="12.6640625" style="352" customWidth="1"/>
  </cols>
  <sheetData>
    <row r="1" spans="1:17" s="346" customFormat="1" ht="16.2">
      <c r="A1" s="660" t="s">
        <v>224</v>
      </c>
      <c r="B1" s="660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Q1" s="347"/>
    </row>
    <row r="2" spans="1:17" s="346" customFormat="1" ht="15.6">
      <c r="A2" s="662" t="s">
        <v>228</v>
      </c>
      <c r="B2" s="662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Q2" s="347"/>
    </row>
    <row r="3" spans="1:17" s="346" customFormat="1" ht="15.6">
      <c r="A3" s="664" t="str">
        <f>'Fund 0666'!A3:O3</f>
        <v>Data Through August 31, 2019</v>
      </c>
      <c r="B3" s="664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Q3" s="347"/>
    </row>
    <row r="4" spans="1:17" s="346" customFormat="1">
      <c r="A4" s="348"/>
      <c r="B4" s="348"/>
      <c r="C4" s="344"/>
      <c r="D4" s="344"/>
      <c r="E4" s="344"/>
      <c r="F4" s="344"/>
      <c r="G4" s="344"/>
      <c r="H4" s="344"/>
      <c r="I4" s="349"/>
      <c r="J4" s="349"/>
      <c r="K4" s="349"/>
      <c r="L4" s="341"/>
      <c r="M4" s="341"/>
      <c r="N4" s="341"/>
      <c r="O4" s="341"/>
      <c r="Q4" s="347"/>
    </row>
    <row r="5" spans="1:17" ht="15.6">
      <c r="A5" s="99"/>
      <c r="B5" s="99"/>
      <c r="C5" s="93"/>
      <c r="D5" s="93"/>
      <c r="E5" s="93"/>
      <c r="F5" s="93"/>
      <c r="G5" s="93"/>
      <c r="H5" s="93"/>
      <c r="I5" s="101"/>
      <c r="J5" s="101"/>
      <c r="K5" s="101"/>
      <c r="L5" s="93"/>
      <c r="M5" s="93"/>
      <c r="N5" s="93"/>
      <c r="O5" s="93"/>
    </row>
    <row r="6" spans="1:17" ht="15.6">
      <c r="A6" s="99"/>
      <c r="B6" s="99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86" t="s">
        <v>491</v>
      </c>
    </row>
    <row r="7" spans="1:17" s="354" customFormat="1" ht="16.2" thickBot="1">
      <c r="A7" s="100"/>
      <c r="B7" s="100"/>
      <c r="C7" s="343" t="s">
        <v>492</v>
      </c>
      <c r="D7" s="343" t="s">
        <v>493</v>
      </c>
      <c r="E7" s="343" t="s">
        <v>494</v>
      </c>
      <c r="F7" s="343" t="s">
        <v>495</v>
      </c>
      <c r="G7" s="343" t="s">
        <v>496</v>
      </c>
      <c r="H7" s="343" t="s">
        <v>497</v>
      </c>
      <c r="I7" s="343" t="s">
        <v>498</v>
      </c>
      <c r="J7" s="343" t="s">
        <v>499</v>
      </c>
      <c r="K7" s="343" t="s">
        <v>500</v>
      </c>
      <c r="L7" s="343" t="s">
        <v>501</v>
      </c>
      <c r="M7" s="343" t="s">
        <v>502</v>
      </c>
      <c r="N7" s="343" t="s">
        <v>503</v>
      </c>
      <c r="O7" s="343" t="str">
        <f>'Fund 0666'!O7</f>
        <v>as of 8/31/19</v>
      </c>
      <c r="Q7" s="353"/>
    </row>
    <row r="8" spans="1:17" ht="16.2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7" ht="16.2" thickBot="1">
      <c r="A9" s="366" t="s">
        <v>227</v>
      </c>
      <c r="B9" s="383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7" ht="15.6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7" ht="15.6">
      <c r="A11" s="408" t="s">
        <v>223</v>
      </c>
      <c r="B11" s="408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7" ht="15.6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7" ht="15.6" hidden="1" customHeight="1">
      <c r="A13" s="105" t="s">
        <v>279</v>
      </c>
      <c r="B13" s="105"/>
      <c r="C13" s="98"/>
      <c r="D13" s="104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>
        <f t="shared" ref="O13:O18" si="1">ROUND(SUM(C13:N13),0)</f>
        <v>0</v>
      </c>
    </row>
    <row r="14" spans="1:17" ht="15.6" hidden="1" customHeight="1">
      <c r="A14" s="99" t="s">
        <v>283</v>
      </c>
      <c r="B14" s="99"/>
      <c r="C14" s="98"/>
      <c r="D14" s="104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>
        <f t="shared" si="1"/>
        <v>0</v>
      </c>
    </row>
    <row r="15" spans="1:17" ht="15.6" hidden="1" customHeight="1">
      <c r="A15" s="99" t="s">
        <v>280</v>
      </c>
      <c r="B15" s="99"/>
      <c r="C15" s="98"/>
      <c r="D15" s="10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>
        <f t="shared" si="1"/>
        <v>0</v>
      </c>
    </row>
    <row r="16" spans="1:17" s="357" customFormat="1" ht="15.6">
      <c r="A16" s="111" t="s">
        <v>229</v>
      </c>
      <c r="B16" s="397" t="s">
        <v>109</v>
      </c>
      <c r="C16" s="93">
        <v>11981.97</v>
      </c>
      <c r="D16" s="113">
        <v>65095.55</v>
      </c>
      <c r="E16" s="112">
        <v>23501.24</v>
      </c>
      <c r="F16" s="112">
        <v>43705.11</v>
      </c>
      <c r="G16" s="477">
        <v>68685.13</v>
      </c>
      <c r="H16" s="477">
        <v>58474.23</v>
      </c>
      <c r="I16" s="477">
        <v>54285.67</v>
      </c>
      <c r="J16" s="112">
        <v>203617.21</v>
      </c>
      <c r="K16" s="427">
        <v>18007.66</v>
      </c>
      <c r="L16" s="477">
        <v>61835.37</v>
      </c>
      <c r="M16" s="93">
        <v>49267.32</v>
      </c>
      <c r="N16" s="93">
        <v>63987.03</v>
      </c>
      <c r="O16" s="98">
        <f>ROUND(SUM(C16:N16),0)</f>
        <v>722443</v>
      </c>
      <c r="Q16" s="358"/>
    </row>
    <row r="17" spans="1:15" ht="15.6" hidden="1" customHeight="1">
      <c r="A17" s="105" t="s">
        <v>281</v>
      </c>
      <c r="B17" s="105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>
        <f t="shared" si="1"/>
        <v>0</v>
      </c>
    </row>
    <row r="18" spans="1:15" ht="15.6" hidden="1" customHeight="1">
      <c r="A18" s="103" t="s">
        <v>282</v>
      </c>
      <c r="B18" s="10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>
        <f t="shared" si="1"/>
        <v>0</v>
      </c>
    </row>
    <row r="19" spans="1:15" ht="15.6">
      <c r="A19" s="99"/>
      <c r="B19" s="99"/>
      <c r="C19" s="93"/>
      <c r="D19" s="93"/>
      <c r="E19" s="93"/>
      <c r="F19" s="93"/>
      <c r="G19" s="93"/>
      <c r="H19" s="93"/>
      <c r="I19" s="101"/>
      <c r="J19" s="101"/>
      <c r="K19" s="101"/>
      <c r="L19" s="93"/>
      <c r="M19" s="93"/>
      <c r="N19" s="93"/>
      <c r="O19" s="93"/>
    </row>
    <row r="20" spans="1:15" ht="15.6">
      <c r="A20" s="99"/>
      <c r="B20" s="99"/>
      <c r="C20" s="93"/>
      <c r="D20" s="93"/>
      <c r="E20" s="93"/>
      <c r="F20" s="93"/>
      <c r="G20" s="93"/>
      <c r="H20" s="93"/>
      <c r="I20" s="101"/>
      <c r="J20" s="101"/>
      <c r="K20" s="101"/>
      <c r="L20" s="93"/>
      <c r="M20" s="93"/>
      <c r="N20" s="93"/>
      <c r="O20" s="93"/>
    </row>
    <row r="21" spans="1:15" ht="15.6">
      <c r="A21" s="409" t="s">
        <v>222</v>
      </c>
      <c r="B21" s="409"/>
      <c r="C21" s="96">
        <f>ROUND((SUM(C13:C20)),0)</f>
        <v>11982</v>
      </c>
      <c r="D21" s="96">
        <f t="shared" ref="D21:N21" si="2">ROUND((SUM(D13:D20)),0)</f>
        <v>65096</v>
      </c>
      <c r="E21" s="96">
        <f t="shared" si="2"/>
        <v>23501</v>
      </c>
      <c r="F21" s="96">
        <v>43705</v>
      </c>
      <c r="G21" s="96">
        <f t="shared" si="2"/>
        <v>68685</v>
      </c>
      <c r="H21" s="96">
        <f t="shared" si="2"/>
        <v>58474</v>
      </c>
      <c r="I21" s="96">
        <f t="shared" si="2"/>
        <v>54286</v>
      </c>
      <c r="J21" s="96">
        <f t="shared" si="2"/>
        <v>203617</v>
      </c>
      <c r="K21" s="96">
        <f t="shared" si="2"/>
        <v>18008</v>
      </c>
      <c r="L21" s="96">
        <f t="shared" si="2"/>
        <v>61835</v>
      </c>
      <c r="M21" s="96">
        <f t="shared" si="2"/>
        <v>49267</v>
      </c>
      <c r="N21" s="96">
        <f t="shared" si="2"/>
        <v>63987</v>
      </c>
      <c r="O21" s="96">
        <f>ROUND((SUM(O13:O20)),0)</f>
        <v>722443</v>
      </c>
    </row>
    <row r="22" spans="1:15" ht="15.6">
      <c r="A22" s="99"/>
      <c r="B22" s="99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6">
      <c r="A23" s="408" t="s">
        <v>221</v>
      </c>
      <c r="B23" s="408"/>
      <c r="C23" s="93"/>
      <c r="D23" s="93"/>
      <c r="E23" s="93"/>
      <c r="F23" s="93"/>
      <c r="G23" s="93"/>
      <c r="H23" s="93"/>
      <c r="I23" s="107"/>
      <c r="J23" s="107"/>
      <c r="K23" s="107"/>
      <c r="L23" s="93"/>
      <c r="M23" s="93"/>
      <c r="N23" s="93"/>
      <c r="O23" s="93"/>
    </row>
    <row r="24" spans="1:15" ht="15.6">
      <c r="A24" s="108"/>
      <c r="B24" s="108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5.6">
      <c r="A25" s="97" t="s">
        <v>230</v>
      </c>
      <c r="B25" s="97"/>
      <c r="C25" s="93">
        <f>ROUND(-C21,0)</f>
        <v>-11982</v>
      </c>
      <c r="D25" s="93">
        <f t="shared" ref="D25:N25" si="3">ROUND(-D21,0)</f>
        <v>-65096</v>
      </c>
      <c r="E25" s="93">
        <f t="shared" si="3"/>
        <v>-23501</v>
      </c>
      <c r="F25" s="93">
        <v>-43705</v>
      </c>
      <c r="G25" s="93">
        <f t="shared" si="3"/>
        <v>-68685</v>
      </c>
      <c r="H25" s="93">
        <f t="shared" si="3"/>
        <v>-58474</v>
      </c>
      <c r="I25" s="93">
        <f t="shared" si="3"/>
        <v>-54286</v>
      </c>
      <c r="J25" s="93">
        <f t="shared" si="3"/>
        <v>-203617</v>
      </c>
      <c r="K25" s="93">
        <f t="shared" si="3"/>
        <v>-18008</v>
      </c>
      <c r="L25" s="93">
        <f t="shared" si="3"/>
        <v>-61835</v>
      </c>
      <c r="M25" s="93">
        <f t="shared" si="3"/>
        <v>-49267</v>
      </c>
      <c r="N25" s="93">
        <f t="shared" si="3"/>
        <v>-63987</v>
      </c>
      <c r="O25" s="93">
        <f>ROUND(SUM(C25:N25),0)</f>
        <v>-722443</v>
      </c>
    </row>
    <row r="26" spans="1:15" ht="15.6">
      <c r="A26" s="108"/>
      <c r="B26" s="108"/>
      <c r="C26" s="93"/>
      <c r="D26" s="93"/>
      <c r="E26" s="93"/>
      <c r="F26" s="93"/>
      <c r="G26" s="93"/>
      <c r="H26" s="93"/>
      <c r="I26" s="107"/>
      <c r="J26" s="107"/>
      <c r="K26" s="107"/>
      <c r="L26" s="93"/>
      <c r="M26" s="93"/>
      <c r="N26" s="93"/>
      <c r="O26" s="93"/>
    </row>
    <row r="27" spans="1:15" ht="15.6">
      <c r="A27" s="108"/>
      <c r="B27" s="108"/>
      <c r="C27" s="93"/>
      <c r="D27" s="93"/>
      <c r="E27" s="93"/>
      <c r="F27" s="93"/>
      <c r="G27" s="93"/>
      <c r="H27" s="93"/>
      <c r="I27" s="107"/>
      <c r="J27" s="107"/>
      <c r="K27" s="107"/>
      <c r="L27" s="93"/>
      <c r="M27" s="93"/>
      <c r="N27" s="93"/>
      <c r="O27" s="93"/>
    </row>
    <row r="28" spans="1:15" ht="15.6">
      <c r="A28" s="408" t="s">
        <v>220</v>
      </c>
      <c r="B28" s="408"/>
      <c r="C28" s="96">
        <f>ROUND(SUM(C24:C27),0)</f>
        <v>-11982</v>
      </c>
      <c r="D28" s="96">
        <f>ROUND(SUM(D24:D27),0)</f>
        <v>-65096</v>
      </c>
      <c r="E28" s="96">
        <f>ROUND(SUM(E24:E27),0)</f>
        <v>-23501</v>
      </c>
      <c r="F28" s="96">
        <v>-43705</v>
      </c>
      <c r="G28" s="96">
        <f>ROUND(SUM(G24:G27),0)</f>
        <v>-68685</v>
      </c>
      <c r="H28" s="96">
        <f t="shared" ref="H28:N28" si="4">SUM(H24:H27)</f>
        <v>-58474</v>
      </c>
      <c r="I28" s="96">
        <f t="shared" si="4"/>
        <v>-54286</v>
      </c>
      <c r="J28" s="96">
        <f t="shared" si="4"/>
        <v>-203617</v>
      </c>
      <c r="K28" s="96">
        <f t="shared" si="4"/>
        <v>-18008</v>
      </c>
      <c r="L28" s="96">
        <f t="shared" si="4"/>
        <v>-61835</v>
      </c>
      <c r="M28" s="96">
        <f t="shared" si="4"/>
        <v>-49267</v>
      </c>
      <c r="N28" s="96">
        <f t="shared" si="4"/>
        <v>-63987</v>
      </c>
      <c r="O28" s="96">
        <f>SUM(O24:O27)</f>
        <v>-722443</v>
      </c>
    </row>
    <row r="29" spans="1:15" ht="15.6">
      <c r="A29" s="99"/>
      <c r="B29" s="99"/>
      <c r="C29" s="93"/>
      <c r="D29" s="93"/>
      <c r="E29" s="93"/>
      <c r="F29" s="93"/>
      <c r="G29" s="93"/>
      <c r="H29" s="93"/>
      <c r="I29" s="107"/>
      <c r="J29" s="107"/>
      <c r="K29" s="107"/>
      <c r="L29" s="93"/>
      <c r="M29" s="93"/>
      <c r="N29" s="93"/>
      <c r="O29" s="93"/>
    </row>
    <row r="30" spans="1:15" ht="16.2" thickBot="1">
      <c r="A30" s="366" t="s">
        <v>219</v>
      </c>
      <c r="B30" s="366"/>
      <c r="C30" s="370">
        <f>ROUND(+C9+C21+C28,0)</f>
        <v>0</v>
      </c>
      <c r="D30" s="370">
        <f t="shared" ref="D30:N30" si="5">ROUND(+D9+D21+D28,0)</f>
        <v>0</v>
      </c>
      <c r="E30" s="370">
        <f t="shared" si="5"/>
        <v>0</v>
      </c>
      <c r="F30" s="370">
        <f t="shared" si="5"/>
        <v>0</v>
      </c>
      <c r="G30" s="370">
        <f t="shared" si="5"/>
        <v>0</v>
      </c>
      <c r="H30" s="370">
        <f t="shared" si="5"/>
        <v>0</v>
      </c>
      <c r="I30" s="370">
        <f t="shared" si="5"/>
        <v>0</v>
      </c>
      <c r="J30" s="370">
        <f t="shared" si="5"/>
        <v>0</v>
      </c>
      <c r="K30" s="370">
        <f t="shared" si="5"/>
        <v>0</v>
      </c>
      <c r="L30" s="370">
        <f t="shared" si="5"/>
        <v>0</v>
      </c>
      <c r="M30" s="370">
        <f t="shared" si="5"/>
        <v>0</v>
      </c>
      <c r="N30" s="370">
        <f t="shared" si="5"/>
        <v>0</v>
      </c>
      <c r="O30" s="370">
        <f>ROUND(+O9+O21+O28,0)</f>
        <v>0</v>
      </c>
    </row>
    <row r="31" spans="1:15" ht="15.6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6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6">
      <c r="A33" s="92" t="s">
        <v>231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6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6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6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6">
      <c r="A37" s="109"/>
      <c r="B37" s="109"/>
      <c r="C37" s="92"/>
      <c r="D37" s="110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6">
      <c r="A38" s="109"/>
      <c r="B38" s="109"/>
      <c r="C38" s="92"/>
      <c r="D38" s="110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15.6">
      <c r="A39" s="109"/>
      <c r="B39" s="109"/>
      <c r="C39" s="92"/>
      <c r="D39" s="110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>
      <c r="D40" s="356"/>
    </row>
    <row r="41" spans="1:15">
      <c r="D41" s="356"/>
    </row>
    <row r="42" spans="1:15">
      <c r="D42" s="356"/>
    </row>
    <row r="43" spans="1:15">
      <c r="D43" s="35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P30" sqref="P30"/>
    </sheetView>
  </sheetViews>
  <sheetFormatPr defaultRowHeight="13.2"/>
  <cols>
    <col min="1" max="1" width="47" style="360" bestFit="1" customWidth="1"/>
    <col min="2" max="2" width="17.109375" style="360" bestFit="1" customWidth="1"/>
    <col min="3" max="3" width="11.33203125" style="345" hidden="1" customWidth="1"/>
    <col min="4" max="4" width="11.44140625" style="345" hidden="1" customWidth="1"/>
    <col min="5" max="6" width="11.6640625" style="345" hidden="1" customWidth="1"/>
    <col min="7" max="7" width="11.33203125" style="345" hidden="1" customWidth="1"/>
    <col min="8" max="8" width="11.6640625" style="345" hidden="1" customWidth="1"/>
    <col min="9" max="9" width="12.109375" style="345" hidden="1" customWidth="1"/>
    <col min="10" max="10" width="11.6640625" style="345" hidden="1" customWidth="1"/>
    <col min="11" max="11" width="12.109375" style="345" hidden="1" customWidth="1"/>
    <col min="12" max="12" width="11.44140625" style="345" hidden="1" customWidth="1"/>
    <col min="13" max="13" width="11.109375" style="345" hidden="1" customWidth="1"/>
    <col min="14" max="14" width="11.6640625" style="345" customWidth="1"/>
    <col min="15" max="15" width="16.109375" style="345" bestFit="1" customWidth="1"/>
    <col min="16" max="19" width="22.33203125" style="360" customWidth="1"/>
    <col min="20" max="21" width="12.6640625" style="360" customWidth="1"/>
    <col min="22" max="22" width="13.33203125" style="360" customWidth="1"/>
    <col min="23" max="254" width="8.88671875" style="360"/>
    <col min="255" max="255" width="46.33203125" style="360" bestFit="1" customWidth="1"/>
    <col min="256" max="256" width="9.6640625" style="360" bestFit="1" customWidth="1"/>
    <col min="257" max="267" width="0" style="360" hidden="1" customWidth="1"/>
    <col min="268" max="268" width="17.44140625" style="360" customWidth="1"/>
    <col min="269" max="277" width="0" style="360" hidden="1" customWidth="1"/>
    <col min="278" max="510" width="8.88671875" style="360"/>
    <col min="511" max="511" width="46.33203125" style="360" bestFit="1" customWidth="1"/>
    <col min="512" max="512" width="9.6640625" style="360" bestFit="1" customWidth="1"/>
    <col min="513" max="523" width="0" style="360" hidden="1" customWidth="1"/>
    <col min="524" max="524" width="17.44140625" style="360" customWidth="1"/>
    <col min="525" max="533" width="0" style="360" hidden="1" customWidth="1"/>
    <col min="534" max="766" width="8.88671875" style="360"/>
    <col min="767" max="767" width="46.33203125" style="360" bestFit="1" customWidth="1"/>
    <col min="768" max="768" width="9.6640625" style="360" bestFit="1" customWidth="1"/>
    <col min="769" max="779" width="0" style="360" hidden="1" customWidth="1"/>
    <col min="780" max="780" width="17.44140625" style="360" customWidth="1"/>
    <col min="781" max="789" width="0" style="360" hidden="1" customWidth="1"/>
    <col min="790" max="1022" width="8.88671875" style="360"/>
    <col min="1023" max="1023" width="46.33203125" style="360" bestFit="1" customWidth="1"/>
    <col min="1024" max="1024" width="9.6640625" style="360" bestFit="1" customWidth="1"/>
    <col min="1025" max="1035" width="0" style="360" hidden="1" customWidth="1"/>
    <col min="1036" max="1036" width="17.44140625" style="360" customWidth="1"/>
    <col min="1037" max="1045" width="0" style="360" hidden="1" customWidth="1"/>
    <col min="1046" max="1278" width="8.88671875" style="360"/>
    <col min="1279" max="1279" width="46.33203125" style="360" bestFit="1" customWidth="1"/>
    <col min="1280" max="1280" width="9.6640625" style="360" bestFit="1" customWidth="1"/>
    <col min="1281" max="1291" width="0" style="360" hidden="1" customWidth="1"/>
    <col min="1292" max="1292" width="17.44140625" style="360" customWidth="1"/>
    <col min="1293" max="1301" width="0" style="360" hidden="1" customWidth="1"/>
    <col min="1302" max="1534" width="8.88671875" style="360"/>
    <col min="1535" max="1535" width="46.33203125" style="360" bestFit="1" customWidth="1"/>
    <col min="1536" max="1536" width="9.6640625" style="360" bestFit="1" customWidth="1"/>
    <col min="1537" max="1547" width="0" style="360" hidden="1" customWidth="1"/>
    <col min="1548" max="1548" width="17.44140625" style="360" customWidth="1"/>
    <col min="1549" max="1557" width="0" style="360" hidden="1" customWidth="1"/>
    <col min="1558" max="1790" width="8.88671875" style="360"/>
    <col min="1791" max="1791" width="46.33203125" style="360" bestFit="1" customWidth="1"/>
    <col min="1792" max="1792" width="9.6640625" style="360" bestFit="1" customWidth="1"/>
    <col min="1793" max="1803" width="0" style="360" hidden="1" customWidth="1"/>
    <col min="1804" max="1804" width="17.44140625" style="360" customWidth="1"/>
    <col min="1805" max="1813" width="0" style="360" hidden="1" customWidth="1"/>
    <col min="1814" max="2046" width="8.88671875" style="360"/>
    <col min="2047" max="2047" width="46.33203125" style="360" bestFit="1" customWidth="1"/>
    <col min="2048" max="2048" width="9.6640625" style="360" bestFit="1" customWidth="1"/>
    <col min="2049" max="2059" width="0" style="360" hidden="1" customWidth="1"/>
    <col min="2060" max="2060" width="17.44140625" style="360" customWidth="1"/>
    <col min="2061" max="2069" width="0" style="360" hidden="1" customWidth="1"/>
    <col min="2070" max="2302" width="8.88671875" style="360"/>
    <col min="2303" max="2303" width="46.33203125" style="360" bestFit="1" customWidth="1"/>
    <col min="2304" max="2304" width="9.6640625" style="360" bestFit="1" customWidth="1"/>
    <col min="2305" max="2315" width="0" style="360" hidden="1" customWidth="1"/>
    <col min="2316" max="2316" width="17.44140625" style="360" customWidth="1"/>
    <col min="2317" max="2325" width="0" style="360" hidden="1" customWidth="1"/>
    <col min="2326" max="2558" width="8.88671875" style="360"/>
    <col min="2559" max="2559" width="46.33203125" style="360" bestFit="1" customWidth="1"/>
    <col min="2560" max="2560" width="9.6640625" style="360" bestFit="1" customWidth="1"/>
    <col min="2561" max="2571" width="0" style="360" hidden="1" customWidth="1"/>
    <col min="2572" max="2572" width="17.44140625" style="360" customWidth="1"/>
    <col min="2573" max="2581" width="0" style="360" hidden="1" customWidth="1"/>
    <col min="2582" max="2814" width="8.88671875" style="360"/>
    <col min="2815" max="2815" width="46.33203125" style="360" bestFit="1" customWidth="1"/>
    <col min="2816" max="2816" width="9.6640625" style="360" bestFit="1" customWidth="1"/>
    <col min="2817" max="2827" width="0" style="360" hidden="1" customWidth="1"/>
    <col min="2828" max="2828" width="17.44140625" style="360" customWidth="1"/>
    <col min="2829" max="2837" width="0" style="360" hidden="1" customWidth="1"/>
    <col min="2838" max="3070" width="8.88671875" style="360"/>
    <col min="3071" max="3071" width="46.33203125" style="360" bestFit="1" customWidth="1"/>
    <col min="3072" max="3072" width="9.6640625" style="360" bestFit="1" customWidth="1"/>
    <col min="3073" max="3083" width="0" style="360" hidden="1" customWidth="1"/>
    <col min="3084" max="3084" width="17.44140625" style="360" customWidth="1"/>
    <col min="3085" max="3093" width="0" style="360" hidden="1" customWidth="1"/>
    <col min="3094" max="3326" width="8.88671875" style="360"/>
    <col min="3327" max="3327" width="46.33203125" style="360" bestFit="1" customWidth="1"/>
    <col min="3328" max="3328" width="9.6640625" style="360" bestFit="1" customWidth="1"/>
    <col min="3329" max="3339" width="0" style="360" hidden="1" customWidth="1"/>
    <col min="3340" max="3340" width="17.44140625" style="360" customWidth="1"/>
    <col min="3341" max="3349" width="0" style="360" hidden="1" customWidth="1"/>
    <col min="3350" max="3582" width="8.88671875" style="360"/>
    <col min="3583" max="3583" width="46.33203125" style="360" bestFit="1" customWidth="1"/>
    <col min="3584" max="3584" width="9.6640625" style="360" bestFit="1" customWidth="1"/>
    <col min="3585" max="3595" width="0" style="360" hidden="1" customWidth="1"/>
    <col min="3596" max="3596" width="17.44140625" style="360" customWidth="1"/>
    <col min="3597" max="3605" width="0" style="360" hidden="1" customWidth="1"/>
    <col min="3606" max="3838" width="8.88671875" style="360"/>
    <col min="3839" max="3839" width="46.33203125" style="360" bestFit="1" customWidth="1"/>
    <col min="3840" max="3840" width="9.6640625" style="360" bestFit="1" customWidth="1"/>
    <col min="3841" max="3851" width="0" style="360" hidden="1" customWidth="1"/>
    <col min="3852" max="3852" width="17.44140625" style="360" customWidth="1"/>
    <col min="3853" max="3861" width="0" style="360" hidden="1" customWidth="1"/>
    <col min="3862" max="4094" width="8.88671875" style="360"/>
    <col min="4095" max="4095" width="46.33203125" style="360" bestFit="1" customWidth="1"/>
    <col min="4096" max="4096" width="9.6640625" style="360" bestFit="1" customWidth="1"/>
    <col min="4097" max="4107" width="0" style="360" hidden="1" customWidth="1"/>
    <col min="4108" max="4108" width="17.44140625" style="360" customWidth="1"/>
    <col min="4109" max="4117" width="0" style="360" hidden="1" customWidth="1"/>
    <col min="4118" max="4350" width="8.88671875" style="360"/>
    <col min="4351" max="4351" width="46.33203125" style="360" bestFit="1" customWidth="1"/>
    <col min="4352" max="4352" width="9.6640625" style="360" bestFit="1" customWidth="1"/>
    <col min="4353" max="4363" width="0" style="360" hidden="1" customWidth="1"/>
    <col min="4364" max="4364" width="17.44140625" style="360" customWidth="1"/>
    <col min="4365" max="4373" width="0" style="360" hidden="1" customWidth="1"/>
    <col min="4374" max="4606" width="8.88671875" style="360"/>
    <col min="4607" max="4607" width="46.33203125" style="360" bestFit="1" customWidth="1"/>
    <col min="4608" max="4608" width="9.6640625" style="360" bestFit="1" customWidth="1"/>
    <col min="4609" max="4619" width="0" style="360" hidden="1" customWidth="1"/>
    <col min="4620" max="4620" width="17.44140625" style="360" customWidth="1"/>
    <col min="4621" max="4629" width="0" style="360" hidden="1" customWidth="1"/>
    <col min="4630" max="4862" width="8.88671875" style="360"/>
    <col min="4863" max="4863" width="46.33203125" style="360" bestFit="1" customWidth="1"/>
    <col min="4864" max="4864" width="9.6640625" style="360" bestFit="1" customWidth="1"/>
    <col min="4865" max="4875" width="0" style="360" hidden="1" customWidth="1"/>
    <col min="4876" max="4876" width="17.44140625" style="360" customWidth="1"/>
    <col min="4877" max="4885" width="0" style="360" hidden="1" customWidth="1"/>
    <col min="4886" max="5118" width="8.88671875" style="360"/>
    <col min="5119" max="5119" width="46.33203125" style="360" bestFit="1" customWidth="1"/>
    <col min="5120" max="5120" width="9.6640625" style="360" bestFit="1" customWidth="1"/>
    <col min="5121" max="5131" width="0" style="360" hidden="1" customWidth="1"/>
    <col min="5132" max="5132" width="17.44140625" style="360" customWidth="1"/>
    <col min="5133" max="5141" width="0" style="360" hidden="1" customWidth="1"/>
    <col min="5142" max="5374" width="8.88671875" style="360"/>
    <col min="5375" max="5375" width="46.33203125" style="360" bestFit="1" customWidth="1"/>
    <col min="5376" max="5376" width="9.6640625" style="360" bestFit="1" customWidth="1"/>
    <col min="5377" max="5387" width="0" style="360" hidden="1" customWidth="1"/>
    <col min="5388" max="5388" width="17.44140625" style="360" customWidth="1"/>
    <col min="5389" max="5397" width="0" style="360" hidden="1" customWidth="1"/>
    <col min="5398" max="5630" width="8.88671875" style="360"/>
    <col min="5631" max="5631" width="46.33203125" style="360" bestFit="1" customWidth="1"/>
    <col min="5632" max="5632" width="9.6640625" style="360" bestFit="1" customWidth="1"/>
    <col min="5633" max="5643" width="0" style="360" hidden="1" customWidth="1"/>
    <col min="5644" max="5644" width="17.44140625" style="360" customWidth="1"/>
    <col min="5645" max="5653" width="0" style="360" hidden="1" customWidth="1"/>
    <col min="5654" max="5886" width="8.88671875" style="360"/>
    <col min="5887" max="5887" width="46.33203125" style="360" bestFit="1" customWidth="1"/>
    <col min="5888" max="5888" width="9.6640625" style="360" bestFit="1" customWidth="1"/>
    <col min="5889" max="5899" width="0" style="360" hidden="1" customWidth="1"/>
    <col min="5900" max="5900" width="17.44140625" style="360" customWidth="1"/>
    <col min="5901" max="5909" width="0" style="360" hidden="1" customWidth="1"/>
    <col min="5910" max="6142" width="8.88671875" style="360"/>
    <col min="6143" max="6143" width="46.33203125" style="360" bestFit="1" customWidth="1"/>
    <col min="6144" max="6144" width="9.6640625" style="360" bestFit="1" customWidth="1"/>
    <col min="6145" max="6155" width="0" style="360" hidden="1" customWidth="1"/>
    <col min="6156" max="6156" width="17.44140625" style="360" customWidth="1"/>
    <col min="6157" max="6165" width="0" style="360" hidden="1" customWidth="1"/>
    <col min="6166" max="6398" width="8.88671875" style="360"/>
    <col min="6399" max="6399" width="46.33203125" style="360" bestFit="1" customWidth="1"/>
    <col min="6400" max="6400" width="9.6640625" style="360" bestFit="1" customWidth="1"/>
    <col min="6401" max="6411" width="0" style="360" hidden="1" customWidth="1"/>
    <col min="6412" max="6412" width="17.44140625" style="360" customWidth="1"/>
    <col min="6413" max="6421" width="0" style="360" hidden="1" customWidth="1"/>
    <col min="6422" max="6654" width="8.88671875" style="360"/>
    <col min="6655" max="6655" width="46.33203125" style="360" bestFit="1" customWidth="1"/>
    <col min="6656" max="6656" width="9.6640625" style="360" bestFit="1" customWidth="1"/>
    <col min="6657" max="6667" width="0" style="360" hidden="1" customWidth="1"/>
    <col min="6668" max="6668" width="17.44140625" style="360" customWidth="1"/>
    <col min="6669" max="6677" width="0" style="360" hidden="1" customWidth="1"/>
    <col min="6678" max="6910" width="8.88671875" style="360"/>
    <col min="6911" max="6911" width="46.33203125" style="360" bestFit="1" customWidth="1"/>
    <col min="6912" max="6912" width="9.6640625" style="360" bestFit="1" customWidth="1"/>
    <col min="6913" max="6923" width="0" style="360" hidden="1" customWidth="1"/>
    <col min="6924" max="6924" width="17.44140625" style="360" customWidth="1"/>
    <col min="6925" max="6933" width="0" style="360" hidden="1" customWidth="1"/>
    <col min="6934" max="7166" width="8.88671875" style="360"/>
    <col min="7167" max="7167" width="46.33203125" style="360" bestFit="1" customWidth="1"/>
    <col min="7168" max="7168" width="9.6640625" style="360" bestFit="1" customWidth="1"/>
    <col min="7169" max="7179" width="0" style="360" hidden="1" customWidth="1"/>
    <col min="7180" max="7180" width="17.44140625" style="360" customWidth="1"/>
    <col min="7181" max="7189" width="0" style="360" hidden="1" customWidth="1"/>
    <col min="7190" max="7422" width="8.88671875" style="360"/>
    <col min="7423" max="7423" width="46.33203125" style="360" bestFit="1" customWidth="1"/>
    <col min="7424" max="7424" width="9.6640625" style="360" bestFit="1" customWidth="1"/>
    <col min="7425" max="7435" width="0" style="360" hidden="1" customWidth="1"/>
    <col min="7436" max="7436" width="17.44140625" style="360" customWidth="1"/>
    <col min="7437" max="7445" width="0" style="360" hidden="1" customWidth="1"/>
    <col min="7446" max="7678" width="8.88671875" style="360"/>
    <col min="7679" max="7679" width="46.33203125" style="360" bestFit="1" customWidth="1"/>
    <col min="7680" max="7680" width="9.6640625" style="360" bestFit="1" customWidth="1"/>
    <col min="7681" max="7691" width="0" style="360" hidden="1" customWidth="1"/>
    <col min="7692" max="7692" width="17.44140625" style="360" customWidth="1"/>
    <col min="7693" max="7701" width="0" style="360" hidden="1" customWidth="1"/>
    <col min="7702" max="7934" width="8.88671875" style="360"/>
    <col min="7935" max="7935" width="46.33203125" style="360" bestFit="1" customWidth="1"/>
    <col min="7936" max="7936" width="9.6640625" style="360" bestFit="1" customWidth="1"/>
    <col min="7937" max="7947" width="0" style="360" hidden="1" customWidth="1"/>
    <col min="7948" max="7948" width="17.44140625" style="360" customWidth="1"/>
    <col min="7949" max="7957" width="0" style="360" hidden="1" customWidth="1"/>
    <col min="7958" max="8190" width="8.88671875" style="360"/>
    <col min="8191" max="8191" width="46.33203125" style="360" bestFit="1" customWidth="1"/>
    <col min="8192" max="8192" width="9.6640625" style="360" bestFit="1" customWidth="1"/>
    <col min="8193" max="8203" width="0" style="360" hidden="1" customWidth="1"/>
    <col min="8204" max="8204" width="17.44140625" style="360" customWidth="1"/>
    <col min="8205" max="8213" width="0" style="360" hidden="1" customWidth="1"/>
    <col min="8214" max="8446" width="8.88671875" style="360"/>
    <col min="8447" max="8447" width="46.33203125" style="360" bestFit="1" customWidth="1"/>
    <col min="8448" max="8448" width="9.6640625" style="360" bestFit="1" customWidth="1"/>
    <col min="8449" max="8459" width="0" style="360" hidden="1" customWidth="1"/>
    <col min="8460" max="8460" width="17.44140625" style="360" customWidth="1"/>
    <col min="8461" max="8469" width="0" style="360" hidden="1" customWidth="1"/>
    <col min="8470" max="8702" width="8.88671875" style="360"/>
    <col min="8703" max="8703" width="46.33203125" style="360" bestFit="1" customWidth="1"/>
    <col min="8704" max="8704" width="9.6640625" style="360" bestFit="1" customWidth="1"/>
    <col min="8705" max="8715" width="0" style="360" hidden="1" customWidth="1"/>
    <col min="8716" max="8716" width="17.44140625" style="360" customWidth="1"/>
    <col min="8717" max="8725" width="0" style="360" hidden="1" customWidth="1"/>
    <col min="8726" max="8958" width="8.88671875" style="360"/>
    <col min="8959" max="8959" width="46.33203125" style="360" bestFit="1" customWidth="1"/>
    <col min="8960" max="8960" width="9.6640625" style="360" bestFit="1" customWidth="1"/>
    <col min="8961" max="8971" width="0" style="360" hidden="1" customWidth="1"/>
    <col min="8972" max="8972" width="17.44140625" style="360" customWidth="1"/>
    <col min="8973" max="8981" width="0" style="360" hidden="1" customWidth="1"/>
    <col min="8982" max="9214" width="8.88671875" style="360"/>
    <col min="9215" max="9215" width="46.33203125" style="360" bestFit="1" customWidth="1"/>
    <col min="9216" max="9216" width="9.6640625" style="360" bestFit="1" customWidth="1"/>
    <col min="9217" max="9227" width="0" style="360" hidden="1" customWidth="1"/>
    <col min="9228" max="9228" width="17.44140625" style="360" customWidth="1"/>
    <col min="9229" max="9237" width="0" style="360" hidden="1" customWidth="1"/>
    <col min="9238" max="9470" width="8.88671875" style="360"/>
    <col min="9471" max="9471" width="46.33203125" style="360" bestFit="1" customWidth="1"/>
    <col min="9472" max="9472" width="9.6640625" style="360" bestFit="1" customWidth="1"/>
    <col min="9473" max="9483" width="0" style="360" hidden="1" customWidth="1"/>
    <col min="9484" max="9484" width="17.44140625" style="360" customWidth="1"/>
    <col min="9485" max="9493" width="0" style="360" hidden="1" customWidth="1"/>
    <col min="9494" max="9726" width="8.88671875" style="360"/>
    <col min="9727" max="9727" width="46.33203125" style="360" bestFit="1" customWidth="1"/>
    <col min="9728" max="9728" width="9.6640625" style="360" bestFit="1" customWidth="1"/>
    <col min="9729" max="9739" width="0" style="360" hidden="1" customWidth="1"/>
    <col min="9740" max="9740" width="17.44140625" style="360" customWidth="1"/>
    <col min="9741" max="9749" width="0" style="360" hidden="1" customWidth="1"/>
    <col min="9750" max="9982" width="8.88671875" style="360"/>
    <col min="9983" max="9983" width="46.33203125" style="360" bestFit="1" customWidth="1"/>
    <col min="9984" max="9984" width="9.6640625" style="360" bestFit="1" customWidth="1"/>
    <col min="9985" max="9995" width="0" style="360" hidden="1" customWidth="1"/>
    <col min="9996" max="9996" width="17.44140625" style="360" customWidth="1"/>
    <col min="9997" max="10005" width="0" style="360" hidden="1" customWidth="1"/>
    <col min="10006" max="10238" width="8.88671875" style="360"/>
    <col min="10239" max="10239" width="46.33203125" style="360" bestFit="1" customWidth="1"/>
    <col min="10240" max="10240" width="9.6640625" style="360" bestFit="1" customWidth="1"/>
    <col min="10241" max="10251" width="0" style="360" hidden="1" customWidth="1"/>
    <col min="10252" max="10252" width="17.44140625" style="360" customWidth="1"/>
    <col min="10253" max="10261" width="0" style="360" hidden="1" customWidth="1"/>
    <col min="10262" max="10494" width="8.88671875" style="360"/>
    <col min="10495" max="10495" width="46.33203125" style="360" bestFit="1" customWidth="1"/>
    <col min="10496" max="10496" width="9.6640625" style="360" bestFit="1" customWidth="1"/>
    <col min="10497" max="10507" width="0" style="360" hidden="1" customWidth="1"/>
    <col min="10508" max="10508" width="17.44140625" style="360" customWidth="1"/>
    <col min="10509" max="10517" width="0" style="360" hidden="1" customWidth="1"/>
    <col min="10518" max="10750" width="8.88671875" style="360"/>
    <col min="10751" max="10751" width="46.33203125" style="360" bestFit="1" customWidth="1"/>
    <col min="10752" max="10752" width="9.6640625" style="360" bestFit="1" customWidth="1"/>
    <col min="10753" max="10763" width="0" style="360" hidden="1" customWidth="1"/>
    <col min="10764" max="10764" width="17.44140625" style="360" customWidth="1"/>
    <col min="10765" max="10773" width="0" style="360" hidden="1" customWidth="1"/>
    <col min="10774" max="11006" width="8.88671875" style="360"/>
    <col min="11007" max="11007" width="46.33203125" style="360" bestFit="1" customWidth="1"/>
    <col min="11008" max="11008" width="9.6640625" style="360" bestFit="1" customWidth="1"/>
    <col min="11009" max="11019" width="0" style="360" hidden="1" customWidth="1"/>
    <col min="11020" max="11020" width="17.44140625" style="360" customWidth="1"/>
    <col min="11021" max="11029" width="0" style="360" hidden="1" customWidth="1"/>
    <col min="11030" max="11262" width="8.88671875" style="360"/>
    <col min="11263" max="11263" width="46.33203125" style="360" bestFit="1" customWidth="1"/>
    <col min="11264" max="11264" width="9.6640625" style="360" bestFit="1" customWidth="1"/>
    <col min="11265" max="11275" width="0" style="360" hidden="1" customWidth="1"/>
    <col min="11276" max="11276" width="17.44140625" style="360" customWidth="1"/>
    <col min="11277" max="11285" width="0" style="360" hidden="1" customWidth="1"/>
    <col min="11286" max="11518" width="8.88671875" style="360"/>
    <col min="11519" max="11519" width="46.33203125" style="360" bestFit="1" customWidth="1"/>
    <col min="11520" max="11520" width="9.6640625" style="360" bestFit="1" customWidth="1"/>
    <col min="11521" max="11531" width="0" style="360" hidden="1" customWidth="1"/>
    <col min="11532" max="11532" width="17.44140625" style="360" customWidth="1"/>
    <col min="11533" max="11541" width="0" style="360" hidden="1" customWidth="1"/>
    <col min="11542" max="11774" width="8.88671875" style="360"/>
    <col min="11775" max="11775" width="46.33203125" style="360" bestFit="1" customWidth="1"/>
    <col min="11776" max="11776" width="9.6640625" style="360" bestFit="1" customWidth="1"/>
    <col min="11777" max="11787" width="0" style="360" hidden="1" customWidth="1"/>
    <col min="11788" max="11788" width="17.44140625" style="360" customWidth="1"/>
    <col min="11789" max="11797" width="0" style="360" hidden="1" customWidth="1"/>
    <col min="11798" max="12030" width="8.88671875" style="360"/>
    <col min="12031" max="12031" width="46.33203125" style="360" bestFit="1" customWidth="1"/>
    <col min="12032" max="12032" width="9.6640625" style="360" bestFit="1" customWidth="1"/>
    <col min="12033" max="12043" width="0" style="360" hidden="1" customWidth="1"/>
    <col min="12044" max="12044" width="17.44140625" style="360" customWidth="1"/>
    <col min="12045" max="12053" width="0" style="360" hidden="1" customWidth="1"/>
    <col min="12054" max="12286" width="8.88671875" style="360"/>
    <col min="12287" max="12287" width="46.33203125" style="360" bestFit="1" customWidth="1"/>
    <col min="12288" max="12288" width="9.6640625" style="360" bestFit="1" customWidth="1"/>
    <col min="12289" max="12299" width="0" style="360" hidden="1" customWidth="1"/>
    <col min="12300" max="12300" width="17.44140625" style="360" customWidth="1"/>
    <col min="12301" max="12309" width="0" style="360" hidden="1" customWidth="1"/>
    <col min="12310" max="12542" width="8.88671875" style="360"/>
    <col min="12543" max="12543" width="46.33203125" style="360" bestFit="1" customWidth="1"/>
    <col min="12544" max="12544" width="9.6640625" style="360" bestFit="1" customWidth="1"/>
    <col min="12545" max="12555" width="0" style="360" hidden="1" customWidth="1"/>
    <col min="12556" max="12556" width="17.44140625" style="360" customWidth="1"/>
    <col min="12557" max="12565" width="0" style="360" hidden="1" customWidth="1"/>
    <col min="12566" max="12798" width="8.88671875" style="360"/>
    <col min="12799" max="12799" width="46.33203125" style="360" bestFit="1" customWidth="1"/>
    <col min="12800" max="12800" width="9.6640625" style="360" bestFit="1" customWidth="1"/>
    <col min="12801" max="12811" width="0" style="360" hidden="1" customWidth="1"/>
    <col min="12812" max="12812" width="17.44140625" style="360" customWidth="1"/>
    <col min="12813" max="12821" width="0" style="360" hidden="1" customWidth="1"/>
    <col min="12822" max="13054" width="8.88671875" style="360"/>
    <col min="13055" max="13055" width="46.33203125" style="360" bestFit="1" customWidth="1"/>
    <col min="13056" max="13056" width="9.6640625" style="360" bestFit="1" customWidth="1"/>
    <col min="13057" max="13067" width="0" style="360" hidden="1" customWidth="1"/>
    <col min="13068" max="13068" width="17.44140625" style="360" customWidth="1"/>
    <col min="13069" max="13077" width="0" style="360" hidden="1" customWidth="1"/>
    <col min="13078" max="13310" width="8.88671875" style="360"/>
    <col min="13311" max="13311" width="46.33203125" style="360" bestFit="1" customWidth="1"/>
    <col min="13312" max="13312" width="9.6640625" style="360" bestFit="1" customWidth="1"/>
    <col min="13313" max="13323" width="0" style="360" hidden="1" customWidth="1"/>
    <col min="13324" max="13324" width="17.44140625" style="360" customWidth="1"/>
    <col min="13325" max="13333" width="0" style="360" hidden="1" customWidth="1"/>
    <col min="13334" max="13566" width="8.88671875" style="360"/>
    <col min="13567" max="13567" width="46.33203125" style="360" bestFit="1" customWidth="1"/>
    <col min="13568" max="13568" width="9.6640625" style="360" bestFit="1" customWidth="1"/>
    <col min="13569" max="13579" width="0" style="360" hidden="1" customWidth="1"/>
    <col min="13580" max="13580" width="17.44140625" style="360" customWidth="1"/>
    <col min="13581" max="13589" width="0" style="360" hidden="1" customWidth="1"/>
    <col min="13590" max="13822" width="8.88671875" style="360"/>
    <col min="13823" max="13823" width="46.33203125" style="360" bestFit="1" customWidth="1"/>
    <col min="13824" max="13824" width="9.6640625" style="360" bestFit="1" customWidth="1"/>
    <col min="13825" max="13835" width="0" style="360" hidden="1" customWidth="1"/>
    <col min="13836" max="13836" width="17.44140625" style="360" customWidth="1"/>
    <col min="13837" max="13845" width="0" style="360" hidden="1" customWidth="1"/>
    <col min="13846" max="14078" width="8.88671875" style="360"/>
    <col min="14079" max="14079" width="46.33203125" style="360" bestFit="1" customWidth="1"/>
    <col min="14080" max="14080" width="9.6640625" style="360" bestFit="1" customWidth="1"/>
    <col min="14081" max="14091" width="0" style="360" hidden="1" customWidth="1"/>
    <col min="14092" max="14092" width="17.44140625" style="360" customWidth="1"/>
    <col min="14093" max="14101" width="0" style="360" hidden="1" customWidth="1"/>
    <col min="14102" max="14334" width="8.88671875" style="360"/>
    <col min="14335" max="14335" width="46.33203125" style="360" bestFit="1" customWidth="1"/>
    <col min="14336" max="14336" width="9.6640625" style="360" bestFit="1" customWidth="1"/>
    <col min="14337" max="14347" width="0" style="360" hidden="1" customWidth="1"/>
    <col min="14348" max="14348" width="17.44140625" style="360" customWidth="1"/>
    <col min="14349" max="14357" width="0" style="360" hidden="1" customWidth="1"/>
    <col min="14358" max="14590" width="8.88671875" style="360"/>
    <col min="14591" max="14591" width="46.33203125" style="360" bestFit="1" customWidth="1"/>
    <col min="14592" max="14592" width="9.6640625" style="360" bestFit="1" customWidth="1"/>
    <col min="14593" max="14603" width="0" style="360" hidden="1" customWidth="1"/>
    <col min="14604" max="14604" width="17.44140625" style="360" customWidth="1"/>
    <col min="14605" max="14613" width="0" style="360" hidden="1" customWidth="1"/>
    <col min="14614" max="14846" width="8.88671875" style="360"/>
    <col min="14847" max="14847" width="46.33203125" style="360" bestFit="1" customWidth="1"/>
    <col min="14848" max="14848" width="9.6640625" style="360" bestFit="1" customWidth="1"/>
    <col min="14849" max="14859" width="0" style="360" hidden="1" customWidth="1"/>
    <col min="14860" max="14860" width="17.44140625" style="360" customWidth="1"/>
    <col min="14861" max="14869" width="0" style="360" hidden="1" customWidth="1"/>
    <col min="14870" max="15102" width="8.88671875" style="360"/>
    <col min="15103" max="15103" width="46.33203125" style="360" bestFit="1" customWidth="1"/>
    <col min="15104" max="15104" width="9.6640625" style="360" bestFit="1" customWidth="1"/>
    <col min="15105" max="15115" width="0" style="360" hidden="1" customWidth="1"/>
    <col min="15116" max="15116" width="17.44140625" style="360" customWidth="1"/>
    <col min="15117" max="15125" width="0" style="360" hidden="1" customWidth="1"/>
    <col min="15126" max="15358" width="8.88671875" style="360"/>
    <col min="15359" max="15359" width="46.33203125" style="360" bestFit="1" customWidth="1"/>
    <col min="15360" max="15360" width="9.6640625" style="360" bestFit="1" customWidth="1"/>
    <col min="15361" max="15371" width="0" style="360" hidden="1" customWidth="1"/>
    <col min="15372" max="15372" width="17.44140625" style="360" customWidth="1"/>
    <col min="15373" max="15381" width="0" style="360" hidden="1" customWidth="1"/>
    <col min="15382" max="15614" width="8.88671875" style="360"/>
    <col min="15615" max="15615" width="46.33203125" style="360" bestFit="1" customWidth="1"/>
    <col min="15616" max="15616" width="9.6640625" style="360" bestFit="1" customWidth="1"/>
    <col min="15617" max="15627" width="0" style="360" hidden="1" customWidth="1"/>
    <col min="15628" max="15628" width="17.44140625" style="360" customWidth="1"/>
    <col min="15629" max="15637" width="0" style="360" hidden="1" customWidth="1"/>
    <col min="15638" max="15870" width="8.88671875" style="360"/>
    <col min="15871" max="15871" width="46.33203125" style="360" bestFit="1" customWidth="1"/>
    <col min="15872" max="15872" width="9.6640625" style="360" bestFit="1" customWidth="1"/>
    <col min="15873" max="15883" width="0" style="360" hidden="1" customWidth="1"/>
    <col min="15884" max="15884" width="17.44140625" style="360" customWidth="1"/>
    <col min="15885" max="15893" width="0" style="360" hidden="1" customWidth="1"/>
    <col min="15894" max="16126" width="8.88671875" style="360"/>
    <col min="16127" max="16127" width="46.33203125" style="360" bestFit="1" customWidth="1"/>
    <col min="16128" max="16128" width="9.6640625" style="360" bestFit="1" customWidth="1"/>
    <col min="16129" max="16139" width="0" style="360" hidden="1" customWidth="1"/>
    <col min="16140" max="16140" width="17.44140625" style="360" customWidth="1"/>
    <col min="16141" max="16149" width="0" style="360" hidden="1" customWidth="1"/>
    <col min="16150" max="16382" width="8.88671875" style="360"/>
    <col min="16383" max="16384" width="12.6640625" style="360" customWidth="1"/>
  </cols>
  <sheetData>
    <row r="1" spans="1:15" s="359" customFormat="1" ht="16.2">
      <c r="A1" s="660" t="s">
        <v>224</v>
      </c>
      <c r="B1" s="660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</row>
    <row r="2" spans="1:15" s="359" customFormat="1" ht="15.6">
      <c r="A2" s="662" t="s">
        <v>232</v>
      </c>
      <c r="B2" s="662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</row>
    <row r="3" spans="1:15" s="359" customFormat="1" ht="15.6">
      <c r="A3" s="664" t="str">
        <f>'Fund 0666'!A3:O3</f>
        <v>Data Through August 31, 2019</v>
      </c>
      <c r="B3" s="664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</row>
    <row r="4" spans="1:15" s="359" customFormat="1">
      <c r="A4" s="348"/>
      <c r="B4" s="348"/>
      <c r="C4" s="344"/>
      <c r="D4" s="344"/>
      <c r="E4" s="344"/>
      <c r="F4" s="344"/>
      <c r="G4" s="344"/>
      <c r="H4" s="344"/>
      <c r="I4" s="349"/>
      <c r="J4" s="349"/>
      <c r="K4" s="349"/>
      <c r="L4" s="341"/>
      <c r="M4" s="341"/>
      <c r="N4" s="341"/>
      <c r="O4" s="341"/>
    </row>
    <row r="5" spans="1:15">
      <c r="A5" s="350"/>
      <c r="B5" s="350"/>
      <c r="C5" s="344"/>
      <c r="D5" s="344"/>
      <c r="E5" s="344"/>
      <c r="F5" s="344"/>
      <c r="G5" s="344"/>
      <c r="H5" s="344"/>
      <c r="I5" s="351"/>
      <c r="J5" s="351"/>
      <c r="K5" s="351"/>
      <c r="L5" s="344"/>
      <c r="M5" s="344"/>
      <c r="N5" s="344"/>
      <c r="O5" s="344"/>
    </row>
    <row r="6" spans="1:15" ht="15.6">
      <c r="A6" s="99"/>
      <c r="B6" s="99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86" t="s">
        <v>491</v>
      </c>
    </row>
    <row r="7" spans="1:15" s="361" customFormat="1" ht="16.2" thickBot="1">
      <c r="A7" s="100"/>
      <c r="B7" s="100"/>
      <c r="C7" s="343" t="s">
        <v>492</v>
      </c>
      <c r="D7" s="343" t="s">
        <v>493</v>
      </c>
      <c r="E7" s="343" t="s">
        <v>494</v>
      </c>
      <c r="F7" s="343" t="s">
        <v>495</v>
      </c>
      <c r="G7" s="343" t="s">
        <v>496</v>
      </c>
      <c r="H7" s="343" t="s">
        <v>497</v>
      </c>
      <c r="I7" s="343" t="s">
        <v>498</v>
      </c>
      <c r="J7" s="343" t="s">
        <v>499</v>
      </c>
      <c r="K7" s="343" t="s">
        <v>500</v>
      </c>
      <c r="L7" s="343" t="s">
        <v>501</v>
      </c>
      <c r="M7" s="343" t="s">
        <v>502</v>
      </c>
      <c r="N7" s="343" t="s">
        <v>503</v>
      </c>
      <c r="O7" s="343" t="str">
        <f>'Fund 0666'!O7</f>
        <v>as of 8/31/19</v>
      </c>
    </row>
    <row r="8" spans="1:15" ht="16.2" thickTop="1">
      <c r="A8" s="99"/>
      <c r="B8" s="99"/>
      <c r="C8" s="93"/>
      <c r="D8" s="93"/>
      <c r="E8" s="93"/>
      <c r="F8" s="93"/>
      <c r="G8" s="93"/>
      <c r="H8" s="93"/>
      <c r="I8" s="101"/>
      <c r="J8" s="102"/>
      <c r="K8" s="102"/>
      <c r="L8" s="93"/>
      <c r="M8" s="93"/>
      <c r="N8" s="93"/>
      <c r="O8" s="93"/>
    </row>
    <row r="9" spans="1:15" ht="16.2" thickBot="1">
      <c r="A9" s="366" t="s">
        <v>227</v>
      </c>
      <c r="B9" s="383"/>
      <c r="C9" s="94">
        <v>0</v>
      </c>
      <c r="D9" s="95">
        <f>C9</f>
        <v>0</v>
      </c>
      <c r="E9" s="95">
        <f t="shared" ref="E9:N9" si="0">D9</f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>C9</f>
        <v>0</v>
      </c>
    </row>
    <row r="10" spans="1:15" ht="15.6">
      <c r="A10" s="99"/>
      <c r="B10" s="99"/>
      <c r="C10" s="93"/>
      <c r="D10" s="93"/>
      <c r="E10" s="93"/>
      <c r="F10" s="93"/>
      <c r="G10" s="93"/>
      <c r="H10" s="93"/>
      <c r="I10" s="101"/>
      <c r="J10" s="101"/>
      <c r="K10" s="101"/>
      <c r="L10" s="93"/>
      <c r="M10" s="93"/>
      <c r="N10" s="93"/>
      <c r="O10" s="93"/>
    </row>
    <row r="11" spans="1:15" ht="15.6">
      <c r="A11" s="408" t="s">
        <v>223</v>
      </c>
      <c r="B11" s="408" t="s">
        <v>278</v>
      </c>
      <c r="C11" s="93"/>
      <c r="D11" s="93"/>
      <c r="E11" s="93"/>
      <c r="F11" s="93"/>
      <c r="G11" s="93"/>
      <c r="H11" s="93"/>
      <c r="I11" s="101"/>
      <c r="J11" s="101"/>
      <c r="K11" s="101"/>
      <c r="L11" s="93"/>
      <c r="M11" s="93"/>
      <c r="N11" s="93"/>
      <c r="O11" s="93"/>
    </row>
    <row r="12" spans="1:15" ht="15.6">
      <c r="A12" s="99"/>
      <c r="B12" s="99"/>
      <c r="C12" s="93"/>
      <c r="D12" s="93"/>
      <c r="E12" s="93"/>
      <c r="F12" s="93"/>
      <c r="G12" s="93"/>
      <c r="H12" s="93"/>
      <c r="I12" s="101"/>
      <c r="J12" s="101"/>
      <c r="K12" s="101"/>
      <c r="L12" s="93"/>
      <c r="M12" s="93"/>
      <c r="N12" s="93"/>
      <c r="O12" s="93"/>
    </row>
    <row r="13" spans="1:15" ht="62.4">
      <c r="A13" s="99" t="s">
        <v>233</v>
      </c>
      <c r="B13" s="410" t="s">
        <v>438</v>
      </c>
      <c r="C13" s="93">
        <v>379.49</v>
      </c>
      <c r="D13" s="93">
        <v>709.49</v>
      </c>
      <c r="E13" s="93">
        <v>681.98</v>
      </c>
      <c r="F13" s="93">
        <v>348.32</v>
      </c>
      <c r="G13" s="106">
        <v>505.99</v>
      </c>
      <c r="H13" s="93">
        <v>438.15</v>
      </c>
      <c r="I13" s="93">
        <v>553.65</v>
      </c>
      <c r="J13" s="93">
        <v>601.32000000000005</v>
      </c>
      <c r="K13" s="93">
        <v>614.15</v>
      </c>
      <c r="L13" s="93">
        <v>667.32</v>
      </c>
      <c r="M13" s="93">
        <v>408.83</v>
      </c>
      <c r="N13" s="93">
        <v>571.97</v>
      </c>
      <c r="O13" s="93">
        <f>ROUND(SUM(C13:N13),0)</f>
        <v>6481</v>
      </c>
    </row>
    <row r="14" spans="1:15" ht="15.6">
      <c r="A14" s="99"/>
      <c r="B14" s="9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5.6">
      <c r="A15" s="99"/>
      <c r="B15" s="99"/>
      <c r="C15" s="93"/>
      <c r="D15" s="93"/>
      <c r="E15" s="93"/>
      <c r="F15" s="93"/>
      <c r="G15" s="93"/>
      <c r="H15" s="93"/>
      <c r="I15" s="101"/>
      <c r="J15" s="101"/>
      <c r="K15" s="101"/>
      <c r="L15" s="93"/>
      <c r="M15" s="93"/>
      <c r="N15" s="93"/>
      <c r="O15" s="93"/>
    </row>
    <row r="16" spans="1:15" ht="15.6">
      <c r="A16" s="409" t="s">
        <v>222</v>
      </c>
      <c r="B16" s="409"/>
      <c r="C16" s="96">
        <f>SUM(C8:C15)</f>
        <v>379.49</v>
      </c>
      <c r="D16" s="96">
        <f t="shared" ref="D16:K16" si="1">SUM(D8:D15)</f>
        <v>709.49</v>
      </c>
      <c r="E16" s="96">
        <f t="shared" si="1"/>
        <v>681.98</v>
      </c>
      <c r="F16" s="96">
        <v>348.32</v>
      </c>
      <c r="G16" s="96">
        <f t="shared" si="1"/>
        <v>505.99</v>
      </c>
      <c r="H16" s="96">
        <f t="shared" si="1"/>
        <v>438.15</v>
      </c>
      <c r="I16" s="96">
        <f t="shared" si="1"/>
        <v>553.65</v>
      </c>
      <c r="J16" s="96">
        <f t="shared" si="1"/>
        <v>601.32000000000005</v>
      </c>
      <c r="K16" s="96">
        <f t="shared" si="1"/>
        <v>614.15</v>
      </c>
      <c r="L16" s="96">
        <f>ROUND((SUM(L8:L15)),0)</f>
        <v>667</v>
      </c>
      <c r="M16" s="96">
        <f>ROUND((SUM(M8:M15)),0)</f>
        <v>409</v>
      </c>
      <c r="N16" s="96">
        <f>ROUND((SUM(N8:N15)),0)</f>
        <v>572</v>
      </c>
      <c r="O16" s="96">
        <f>SUM(C16:N16)</f>
        <v>6480.54</v>
      </c>
    </row>
    <row r="17" spans="1:15" ht="15.6">
      <c r="A17" s="99"/>
      <c r="B17" s="99"/>
      <c r="C17" s="93"/>
      <c r="D17" s="93"/>
      <c r="E17" s="93"/>
      <c r="F17" s="93"/>
      <c r="G17" s="93"/>
      <c r="H17" s="93"/>
      <c r="I17" s="107"/>
      <c r="J17" s="107"/>
      <c r="K17" s="107"/>
      <c r="L17" s="93"/>
      <c r="M17" s="93"/>
      <c r="N17" s="93"/>
      <c r="O17" s="93"/>
    </row>
    <row r="18" spans="1:15" ht="15.6">
      <c r="A18" s="408" t="s">
        <v>221</v>
      </c>
      <c r="B18" s="408"/>
      <c r="C18" s="93"/>
      <c r="D18" s="93"/>
      <c r="E18" s="93"/>
      <c r="F18" s="93"/>
      <c r="G18" s="93"/>
      <c r="H18" s="93"/>
      <c r="I18" s="107"/>
      <c r="J18" s="107"/>
      <c r="K18" s="107"/>
      <c r="L18" s="93"/>
      <c r="M18" s="93"/>
      <c r="N18" s="93"/>
      <c r="O18" s="93"/>
    </row>
    <row r="19" spans="1:15" ht="15.6">
      <c r="A19" s="108"/>
      <c r="B19" s="108"/>
      <c r="C19" s="93"/>
      <c r="D19" s="93"/>
      <c r="E19" s="93"/>
      <c r="F19" s="93"/>
      <c r="G19" s="93"/>
      <c r="H19" s="93"/>
      <c r="I19" s="107"/>
      <c r="J19" s="107"/>
      <c r="K19" s="107"/>
      <c r="L19" s="93"/>
      <c r="M19" s="93"/>
      <c r="N19" s="93"/>
      <c r="O19" s="93"/>
    </row>
    <row r="20" spans="1:15" ht="15.6">
      <c r="A20" s="103" t="s">
        <v>234</v>
      </c>
      <c r="B20" s="103"/>
      <c r="C20" s="93">
        <f>-C16</f>
        <v>-379.49</v>
      </c>
      <c r="D20" s="93">
        <f t="shared" ref="D20:K20" si="2">-D16</f>
        <v>-709.49</v>
      </c>
      <c r="E20" s="93">
        <f t="shared" si="2"/>
        <v>-681.98</v>
      </c>
      <c r="F20" s="93">
        <v>-348.32</v>
      </c>
      <c r="G20" s="93">
        <f t="shared" si="2"/>
        <v>-505.99</v>
      </c>
      <c r="H20" s="93">
        <f t="shared" si="2"/>
        <v>-438.15</v>
      </c>
      <c r="I20" s="93">
        <f t="shared" si="2"/>
        <v>-553.65</v>
      </c>
      <c r="J20" s="93">
        <f t="shared" si="2"/>
        <v>-601.32000000000005</v>
      </c>
      <c r="K20" s="93">
        <f t="shared" si="2"/>
        <v>-614.15</v>
      </c>
      <c r="L20" s="93">
        <f>ROUND(-L16,0)</f>
        <v>-667</v>
      </c>
      <c r="M20" s="93">
        <f>ROUND(-M16,0)</f>
        <v>-409</v>
      </c>
      <c r="N20" s="93">
        <f>ROUND(-N16,0)</f>
        <v>-572</v>
      </c>
      <c r="O20" s="93">
        <f>ROUND(SUM(C20:N20),0)</f>
        <v>-6481</v>
      </c>
    </row>
    <row r="21" spans="1:15" ht="15.6">
      <c r="A21" s="108"/>
      <c r="B21" s="108"/>
      <c r="C21" s="93"/>
      <c r="D21" s="93"/>
      <c r="E21" s="93"/>
      <c r="F21" s="93"/>
      <c r="G21" s="93"/>
      <c r="H21" s="93"/>
      <c r="I21" s="107"/>
      <c r="J21" s="107"/>
      <c r="K21" s="107"/>
      <c r="L21" s="93"/>
      <c r="M21" s="93"/>
      <c r="N21" s="93"/>
      <c r="O21" s="93"/>
    </row>
    <row r="22" spans="1:15" ht="15.6">
      <c r="A22" s="108"/>
      <c r="B22" s="108"/>
      <c r="C22" s="93"/>
      <c r="D22" s="93"/>
      <c r="E22" s="93"/>
      <c r="F22" s="93"/>
      <c r="G22" s="93"/>
      <c r="H22" s="93"/>
      <c r="I22" s="107"/>
      <c r="J22" s="107"/>
      <c r="K22" s="107"/>
      <c r="L22" s="93"/>
      <c r="M22" s="93"/>
      <c r="N22" s="93"/>
      <c r="O22" s="93"/>
    </row>
    <row r="23" spans="1:15" ht="15.6">
      <c r="A23" s="408" t="s">
        <v>220</v>
      </c>
      <c r="B23" s="408"/>
      <c r="C23" s="96">
        <f>SUM(C19:C22)</f>
        <v>-379.49</v>
      </c>
      <c r="D23" s="96">
        <f t="shared" ref="D23:N23" si="3">SUM(D19:D22)</f>
        <v>-709.49</v>
      </c>
      <c r="E23" s="96">
        <f t="shared" si="3"/>
        <v>-681.98</v>
      </c>
      <c r="F23" s="96">
        <v>-348.32</v>
      </c>
      <c r="G23" s="96">
        <f t="shared" si="3"/>
        <v>-505.99</v>
      </c>
      <c r="H23" s="96">
        <f t="shared" si="3"/>
        <v>-438.15</v>
      </c>
      <c r="I23" s="96">
        <f t="shared" si="3"/>
        <v>-553.65</v>
      </c>
      <c r="J23" s="96">
        <f t="shared" si="3"/>
        <v>-601.32000000000005</v>
      </c>
      <c r="K23" s="96">
        <f t="shared" si="3"/>
        <v>-614.15</v>
      </c>
      <c r="L23" s="96">
        <f t="shared" si="3"/>
        <v>-667</v>
      </c>
      <c r="M23" s="96">
        <f t="shared" si="3"/>
        <v>-409</v>
      </c>
      <c r="N23" s="96">
        <f t="shared" si="3"/>
        <v>-572</v>
      </c>
      <c r="O23" s="96">
        <f>SUM(O19:O22)</f>
        <v>-6481</v>
      </c>
    </row>
    <row r="24" spans="1:15" ht="15.6">
      <c r="A24" s="99"/>
      <c r="B24" s="99"/>
      <c r="C24" s="93"/>
      <c r="D24" s="93"/>
      <c r="E24" s="93"/>
      <c r="F24" s="93"/>
      <c r="G24" s="93"/>
      <c r="H24" s="93"/>
      <c r="I24" s="107"/>
      <c r="J24" s="107"/>
      <c r="K24" s="107"/>
      <c r="L24" s="93"/>
      <c r="M24" s="93"/>
      <c r="N24" s="93"/>
      <c r="O24" s="93"/>
    </row>
    <row r="25" spans="1:15" ht="16.2" thickBot="1">
      <c r="A25" s="366" t="s">
        <v>219</v>
      </c>
      <c r="B25" s="366"/>
      <c r="C25" s="370">
        <f>+C9+C16+C23</f>
        <v>0</v>
      </c>
      <c r="D25" s="370">
        <f t="shared" ref="D25:N25" si="4">+D9+D16+D23</f>
        <v>0</v>
      </c>
      <c r="E25" s="370">
        <f t="shared" si="4"/>
        <v>0</v>
      </c>
      <c r="F25" s="370">
        <f t="shared" si="4"/>
        <v>0</v>
      </c>
      <c r="G25" s="370">
        <f t="shared" si="4"/>
        <v>0</v>
      </c>
      <c r="H25" s="370">
        <f t="shared" si="4"/>
        <v>0</v>
      </c>
      <c r="I25" s="370">
        <f t="shared" si="4"/>
        <v>0</v>
      </c>
      <c r="J25" s="370">
        <f t="shared" si="4"/>
        <v>0</v>
      </c>
      <c r="K25" s="370">
        <f t="shared" si="4"/>
        <v>0</v>
      </c>
      <c r="L25" s="370">
        <f t="shared" si="4"/>
        <v>0</v>
      </c>
      <c r="M25" s="370">
        <f t="shared" si="4"/>
        <v>0</v>
      </c>
      <c r="N25" s="370">
        <f t="shared" si="4"/>
        <v>0</v>
      </c>
      <c r="O25" s="370">
        <f>ROUND((+O9+O16+O23),0)</f>
        <v>0</v>
      </c>
    </row>
    <row r="26" spans="1:15" ht="15.6">
      <c r="A26" s="109"/>
      <c r="B26" s="10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 ht="15.6">
      <c r="A27" s="109"/>
      <c r="B27" s="10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5.6">
      <c r="A28" s="92" t="s">
        <v>235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15.6">
      <c r="A29" s="109"/>
      <c r="B29" s="10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5" ht="15.6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5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A4" sqref="A4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35" t="s">
        <v>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5" s="9" customFormat="1" ht="15.6">
      <c r="A2" s="236" t="s">
        <v>547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s="9" customFormat="1" ht="15.6">
      <c r="A3" s="160" t="str">
        <f>'Schedule 1'!A3:L3</f>
        <v>Data Through August 31, 2019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5" s="9" customFormat="1" ht="15.6">
      <c r="A4" s="160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s="8" customFormat="1" ht="15.6">
      <c r="A5" s="237"/>
      <c r="B5" s="237"/>
      <c r="C5" s="237"/>
      <c r="D5" s="237"/>
      <c r="E5" s="237"/>
      <c r="F5" s="238"/>
      <c r="G5" s="238"/>
      <c r="H5" s="238"/>
      <c r="I5" s="237"/>
      <c r="J5" s="237"/>
      <c r="K5" s="237"/>
      <c r="L5" s="237"/>
      <c r="M5" s="237"/>
    </row>
    <row r="6" spans="1:15" s="27" customFormat="1" ht="32.25" customHeight="1">
      <c r="A6" s="239"/>
      <c r="B6" s="239" t="s">
        <v>39</v>
      </c>
      <c r="C6" s="239" t="s">
        <v>29</v>
      </c>
      <c r="D6" s="239" t="s">
        <v>154</v>
      </c>
      <c r="E6" s="239" t="s">
        <v>158</v>
      </c>
      <c r="F6" s="239" t="s">
        <v>202</v>
      </c>
      <c r="G6" s="239" t="s">
        <v>153</v>
      </c>
      <c r="H6" s="239" t="s">
        <v>31</v>
      </c>
      <c r="I6" s="239" t="s">
        <v>46</v>
      </c>
      <c r="J6" s="239" t="s">
        <v>47</v>
      </c>
      <c r="K6" s="239" t="s">
        <v>277</v>
      </c>
      <c r="L6" s="239" t="s">
        <v>32</v>
      </c>
      <c r="M6" s="239" t="s">
        <v>33</v>
      </c>
      <c r="N6" s="240"/>
    </row>
    <row r="7" spans="1:15" s="28" customFormat="1" ht="18" customHeight="1">
      <c r="A7" s="666" t="s">
        <v>40</v>
      </c>
      <c r="B7" s="667"/>
      <c r="C7" s="241"/>
      <c r="D7" s="241"/>
      <c r="E7" s="242"/>
      <c r="F7" s="242"/>
      <c r="G7" s="242"/>
      <c r="H7" s="242"/>
      <c r="I7" s="241"/>
      <c r="J7" s="241"/>
      <c r="K7" s="241"/>
      <c r="L7" s="241"/>
      <c r="M7" s="241"/>
      <c r="N7" s="243"/>
    </row>
    <row r="8" spans="1:15" s="28" customFormat="1" ht="18" customHeight="1">
      <c r="A8" s="387" t="s">
        <v>321</v>
      </c>
      <c r="B8" s="245" t="s">
        <v>361</v>
      </c>
      <c r="C8" s="246">
        <v>8151583</v>
      </c>
      <c r="D8" s="246">
        <f>I8-C8</f>
        <v>321011</v>
      </c>
      <c r="E8" s="246">
        <v>321011</v>
      </c>
      <c r="F8" s="247" t="s">
        <v>580</v>
      </c>
      <c r="G8" s="246">
        <v>0</v>
      </c>
      <c r="H8" s="247"/>
      <c r="I8" s="246">
        <v>8472594</v>
      </c>
      <c r="J8" s="246">
        <v>7712041.0300000291</v>
      </c>
      <c r="K8" s="246">
        <v>300560.79000000004</v>
      </c>
      <c r="L8" s="246">
        <v>8128012</v>
      </c>
      <c r="M8" s="246">
        <f>I8-L8</f>
        <v>344582</v>
      </c>
      <c r="N8" s="248">
        <f>E8+G8-D8</f>
        <v>0</v>
      </c>
      <c r="O8" s="29"/>
    </row>
    <row r="9" spans="1:15" s="28" customFormat="1" ht="18" customHeight="1">
      <c r="A9" s="244" t="s">
        <v>322</v>
      </c>
      <c r="B9" s="245" t="s">
        <v>162</v>
      </c>
      <c r="C9" s="246">
        <v>6000000</v>
      </c>
      <c r="D9" s="246">
        <f t="shared" ref="D9:D15" si="0">I9-C9</f>
        <v>7902910</v>
      </c>
      <c r="E9" s="246">
        <v>7902910</v>
      </c>
      <c r="F9" s="247" t="s">
        <v>579</v>
      </c>
      <c r="G9" s="246">
        <v>0</v>
      </c>
      <c r="H9" s="247"/>
      <c r="I9" s="246">
        <v>13902910</v>
      </c>
      <c r="J9" s="246">
        <v>8676716.6299999971</v>
      </c>
      <c r="K9" s="246">
        <v>3114577.5599999996</v>
      </c>
      <c r="L9" s="246">
        <v>13902910</v>
      </c>
      <c r="M9" s="246">
        <f t="shared" ref="M9:M15" si="1">I9-L9</f>
        <v>0</v>
      </c>
      <c r="N9" s="248">
        <f t="shared" ref="N9:N24" si="2">E9+G9-D9</f>
        <v>0</v>
      </c>
      <c r="O9" s="114"/>
    </row>
    <row r="10" spans="1:15" s="28" customFormat="1" ht="18" customHeight="1">
      <c r="A10" s="244" t="s">
        <v>323</v>
      </c>
      <c r="B10" s="245" t="s">
        <v>163</v>
      </c>
      <c r="C10" s="246">
        <v>2573750</v>
      </c>
      <c r="D10" s="246">
        <f t="shared" si="0"/>
        <v>166938</v>
      </c>
      <c r="E10" s="246">
        <v>166938</v>
      </c>
      <c r="F10" s="247" t="s">
        <v>581</v>
      </c>
      <c r="G10" s="246">
        <v>0</v>
      </c>
      <c r="H10" s="247"/>
      <c r="I10" s="246">
        <v>2740688</v>
      </c>
      <c r="J10" s="246">
        <v>2314555.12</v>
      </c>
      <c r="K10" s="246">
        <v>0</v>
      </c>
      <c r="L10" s="246">
        <v>2016365</v>
      </c>
      <c r="M10" s="246">
        <f t="shared" si="1"/>
        <v>724323</v>
      </c>
      <c r="N10" s="248">
        <f t="shared" si="2"/>
        <v>0</v>
      </c>
    </row>
    <row r="11" spans="1:15" s="28" customFormat="1" ht="18" customHeight="1">
      <c r="A11" s="244" t="s">
        <v>324</v>
      </c>
      <c r="B11" s="245" t="s">
        <v>164</v>
      </c>
      <c r="C11" s="246">
        <v>2500000</v>
      </c>
      <c r="D11" s="246">
        <f>I11-C11</f>
        <v>865129</v>
      </c>
      <c r="E11" s="246">
        <v>865129</v>
      </c>
      <c r="F11" s="249" t="s">
        <v>523</v>
      </c>
      <c r="G11" s="246">
        <v>0</v>
      </c>
      <c r="H11" s="249"/>
      <c r="I11" s="246">
        <v>3365129</v>
      </c>
      <c r="J11" s="246">
        <v>3017348.0100000002</v>
      </c>
      <c r="K11" s="246">
        <v>347780.98999999976</v>
      </c>
      <c r="L11" s="246">
        <v>3365129</v>
      </c>
      <c r="M11" s="246">
        <f t="shared" si="1"/>
        <v>0</v>
      </c>
      <c r="N11" s="248">
        <f>E11+G11-D11</f>
        <v>0</v>
      </c>
    </row>
    <row r="12" spans="1:15" s="28" customFormat="1" ht="18" customHeight="1">
      <c r="A12" s="244" t="s">
        <v>325</v>
      </c>
      <c r="B12" s="245" t="s">
        <v>189</v>
      </c>
      <c r="C12" s="246">
        <v>500018</v>
      </c>
      <c r="D12" s="246">
        <f t="shared" si="0"/>
        <v>-44241</v>
      </c>
      <c r="E12" s="246">
        <v>-44241</v>
      </c>
      <c r="F12" s="247" t="s">
        <v>210</v>
      </c>
      <c r="G12" s="246">
        <v>0</v>
      </c>
      <c r="H12" s="247"/>
      <c r="I12" s="246">
        <v>455777</v>
      </c>
      <c r="J12" s="246">
        <v>0</v>
      </c>
      <c r="K12" s="246">
        <v>0</v>
      </c>
      <c r="L12" s="246">
        <v>0</v>
      </c>
      <c r="M12" s="246">
        <f t="shared" si="1"/>
        <v>455777</v>
      </c>
      <c r="N12" s="248">
        <f t="shared" si="2"/>
        <v>0</v>
      </c>
    </row>
    <row r="13" spans="1:15" s="28" customFormat="1" ht="18" customHeight="1">
      <c r="A13" s="244" t="s">
        <v>326</v>
      </c>
      <c r="B13" s="245" t="s">
        <v>236</v>
      </c>
      <c r="C13" s="246"/>
      <c r="D13" s="246">
        <f t="shared" si="0"/>
        <v>477329</v>
      </c>
      <c r="E13" s="246">
        <v>477329</v>
      </c>
      <c r="F13" s="247" t="s">
        <v>523</v>
      </c>
      <c r="G13" s="246">
        <v>0</v>
      </c>
      <c r="H13" s="247"/>
      <c r="I13" s="246">
        <v>477329</v>
      </c>
      <c r="J13" s="246">
        <v>10692</v>
      </c>
      <c r="K13" s="246">
        <v>0</v>
      </c>
      <c r="L13" s="246">
        <v>10692</v>
      </c>
      <c r="M13" s="246">
        <f t="shared" si="1"/>
        <v>466637</v>
      </c>
      <c r="N13" s="248">
        <f t="shared" si="2"/>
        <v>0</v>
      </c>
    </row>
    <row r="14" spans="1:15" s="28" customFormat="1" ht="18" customHeight="1">
      <c r="A14" s="244" t="s">
        <v>327</v>
      </c>
      <c r="B14" s="245" t="s">
        <v>190</v>
      </c>
      <c r="C14" s="246">
        <v>383351</v>
      </c>
      <c r="D14" s="246">
        <f t="shared" si="0"/>
        <v>-33919</v>
      </c>
      <c r="E14" s="246">
        <v>-33919</v>
      </c>
      <c r="F14" s="247" t="s">
        <v>210</v>
      </c>
      <c r="G14" s="246">
        <v>0</v>
      </c>
      <c r="H14" s="247"/>
      <c r="I14" s="246">
        <v>349432</v>
      </c>
      <c r="J14" s="246">
        <v>0</v>
      </c>
      <c r="K14" s="246">
        <v>0</v>
      </c>
      <c r="L14" s="246">
        <v>0</v>
      </c>
      <c r="M14" s="246">
        <f t="shared" si="1"/>
        <v>349432</v>
      </c>
      <c r="N14" s="248">
        <f>E14+G14-D14</f>
        <v>0</v>
      </c>
    </row>
    <row r="15" spans="1:15" s="28" customFormat="1" ht="18" customHeight="1">
      <c r="A15" s="244" t="s">
        <v>328</v>
      </c>
      <c r="B15" s="245" t="s">
        <v>117</v>
      </c>
      <c r="C15" s="246">
        <v>6947100</v>
      </c>
      <c r="D15" s="246">
        <f t="shared" si="0"/>
        <v>91617</v>
      </c>
      <c r="E15" s="246">
        <v>91617</v>
      </c>
      <c r="F15" s="247" t="s">
        <v>581</v>
      </c>
      <c r="G15" s="246">
        <v>0</v>
      </c>
      <c r="H15" s="247"/>
      <c r="I15" s="246">
        <v>7038717</v>
      </c>
      <c r="J15" s="246">
        <v>4187356.1099999975</v>
      </c>
      <c r="K15" s="246">
        <v>0</v>
      </c>
      <c r="L15" s="246">
        <v>4212130</v>
      </c>
      <c r="M15" s="246">
        <f t="shared" si="1"/>
        <v>2826587</v>
      </c>
      <c r="N15" s="248">
        <f>E15+G15-D15</f>
        <v>0</v>
      </c>
    </row>
    <row r="16" spans="1:15" s="31" customFormat="1" ht="18" customHeight="1">
      <c r="A16" s="250" t="s">
        <v>206</v>
      </c>
      <c r="B16" s="251"/>
      <c r="C16" s="252">
        <f>SUM(C8:C15)</f>
        <v>27055802</v>
      </c>
      <c r="D16" s="252">
        <f>SUM(D8:D15)</f>
        <v>9746774</v>
      </c>
      <c r="E16" s="252">
        <v>9746774</v>
      </c>
      <c r="F16" s="252"/>
      <c r="G16" s="252">
        <f>SUM(G8:G15)</f>
        <v>0</v>
      </c>
      <c r="H16" s="252"/>
      <c r="I16" s="252">
        <f>SUM(I8:I15)</f>
        <v>36802576</v>
      </c>
      <c r="J16" s="252">
        <f>SUM(J8:J15)</f>
        <v>25918708.900000028</v>
      </c>
      <c r="K16" s="252">
        <f>SUM(K8:K15)</f>
        <v>3762919.3399999994</v>
      </c>
      <c r="L16" s="252">
        <f>SUM(L8:L15)</f>
        <v>31635238</v>
      </c>
      <c r="M16" s="252">
        <f>SUM(M8:M15)</f>
        <v>5167338</v>
      </c>
      <c r="N16" s="248"/>
    </row>
    <row r="17" spans="1:14" s="32" customFormat="1" ht="18" customHeight="1">
      <c r="A17" s="253"/>
      <c r="B17" s="254"/>
      <c r="C17" s="253"/>
      <c r="D17" s="253"/>
      <c r="E17" s="255"/>
      <c r="F17" s="256"/>
      <c r="G17" s="257"/>
      <c r="H17" s="256"/>
      <c r="I17" s="253"/>
      <c r="J17" s="253"/>
      <c r="K17" s="253"/>
      <c r="L17" s="253"/>
      <c r="M17" s="253"/>
      <c r="N17" s="248">
        <f t="shared" si="2"/>
        <v>0</v>
      </c>
    </row>
    <row r="18" spans="1:14" s="30" customFormat="1" ht="18" customHeight="1" thickBot="1">
      <c r="A18" s="258" t="s">
        <v>207</v>
      </c>
      <c r="B18" s="259"/>
      <c r="C18" s="260">
        <f>C16</f>
        <v>27055802</v>
      </c>
      <c r="D18" s="260">
        <f t="shared" ref="D18:M18" si="3">D16</f>
        <v>9746774</v>
      </c>
      <c r="E18" s="260">
        <v>9746774</v>
      </c>
      <c r="F18" s="260"/>
      <c r="G18" s="260">
        <f t="shared" si="3"/>
        <v>0</v>
      </c>
      <c r="H18" s="260"/>
      <c r="I18" s="260">
        <f t="shared" si="3"/>
        <v>36802576</v>
      </c>
      <c r="J18" s="260">
        <f t="shared" si="3"/>
        <v>25918708.900000028</v>
      </c>
      <c r="K18" s="260">
        <f t="shared" si="3"/>
        <v>3762919.3399999994</v>
      </c>
      <c r="L18" s="260">
        <f t="shared" si="3"/>
        <v>31635238</v>
      </c>
      <c r="M18" s="260">
        <f t="shared" si="3"/>
        <v>5167338</v>
      </c>
      <c r="N18" s="248">
        <f t="shared" si="2"/>
        <v>0</v>
      </c>
    </row>
    <row r="19" spans="1:14" s="30" customFormat="1" ht="18" customHeight="1" thickTop="1">
      <c r="A19" s="253"/>
      <c r="B19" s="254"/>
      <c r="C19" s="253"/>
      <c r="D19" s="253"/>
      <c r="E19" s="255"/>
      <c r="F19" s="256"/>
      <c r="G19" s="257"/>
      <c r="H19" s="256"/>
      <c r="I19" s="253"/>
      <c r="J19" s="253"/>
      <c r="K19" s="253"/>
      <c r="L19" s="253"/>
      <c r="M19" s="253"/>
      <c r="N19" s="248">
        <f t="shared" si="2"/>
        <v>0</v>
      </c>
    </row>
    <row r="20" spans="1:14" s="28" customFormat="1" ht="18" customHeight="1">
      <c r="A20" s="253"/>
      <c r="B20" s="254"/>
      <c r="C20" s="253"/>
      <c r="D20" s="253"/>
      <c r="E20" s="255"/>
      <c r="F20" s="256"/>
      <c r="G20" s="257"/>
      <c r="H20" s="256"/>
      <c r="I20" s="253"/>
      <c r="J20" s="253"/>
      <c r="K20" s="253"/>
      <c r="L20" s="253"/>
      <c r="M20" s="253"/>
      <c r="N20" s="248">
        <f t="shared" si="2"/>
        <v>0</v>
      </c>
    </row>
    <row r="21" spans="1:14" s="33" customFormat="1" ht="18" customHeight="1">
      <c r="A21" s="261" t="s">
        <v>41</v>
      </c>
      <c r="B21" s="262"/>
      <c r="C21" s="263"/>
      <c r="D21" s="263"/>
      <c r="E21" s="263"/>
      <c r="F21" s="264"/>
      <c r="G21" s="265"/>
      <c r="H21" s="264"/>
      <c r="I21" s="263"/>
      <c r="J21" s="263"/>
      <c r="K21" s="263"/>
      <c r="L21" s="263"/>
      <c r="M21" s="263"/>
      <c r="N21" s="248">
        <f t="shared" si="2"/>
        <v>0</v>
      </c>
    </row>
    <row r="22" spans="1:14" s="34" customFormat="1" ht="18" customHeight="1">
      <c r="A22" s="266" t="s">
        <v>4</v>
      </c>
      <c r="B22" s="267"/>
      <c r="C22" s="246">
        <v>17855558</v>
      </c>
      <c r="D22" s="246">
        <f>I22-C22</f>
        <v>9074115</v>
      </c>
      <c r="E22" s="246">
        <v>9074115</v>
      </c>
      <c r="F22" s="247"/>
      <c r="G22" s="246">
        <v>0</v>
      </c>
      <c r="H22" s="247"/>
      <c r="I22" s="246">
        <v>26929673</v>
      </c>
      <c r="J22" s="246">
        <v>15780471.369999982</v>
      </c>
      <c r="K22" s="246">
        <f>K16</f>
        <v>3762919.3399999994</v>
      </c>
      <c r="L22" s="246">
        <v>22141622</v>
      </c>
      <c r="M22" s="246">
        <f>I22-L22</f>
        <v>4788051</v>
      </c>
      <c r="N22" s="248">
        <f>E22+G22-D22</f>
        <v>0</v>
      </c>
    </row>
    <row r="23" spans="1:14" s="28" customFormat="1" ht="18" customHeight="1">
      <c r="A23" s="268"/>
      <c r="B23" s="267" t="s">
        <v>37</v>
      </c>
      <c r="C23" s="269">
        <f>C22</f>
        <v>17855558</v>
      </c>
      <c r="D23" s="269">
        <f>D22</f>
        <v>9074115</v>
      </c>
      <c r="E23" s="269">
        <v>9074115</v>
      </c>
      <c r="F23" s="270"/>
      <c r="G23" s="269">
        <f>G22</f>
        <v>0</v>
      </c>
      <c r="H23" s="270"/>
      <c r="I23" s="269">
        <f>I22</f>
        <v>26929673</v>
      </c>
      <c r="J23" s="269">
        <f>J22</f>
        <v>15780471.369999982</v>
      </c>
      <c r="K23" s="269">
        <f>K22</f>
        <v>3762919.3399999994</v>
      </c>
      <c r="L23" s="269">
        <f>L22</f>
        <v>22141622</v>
      </c>
      <c r="M23" s="246">
        <f>I23-L23</f>
        <v>4788051</v>
      </c>
      <c r="N23" s="248">
        <f t="shared" si="2"/>
        <v>0</v>
      </c>
    </row>
    <row r="24" spans="1:14" s="28" customFormat="1" ht="18" customHeight="1">
      <c r="A24" s="271" t="s">
        <v>6</v>
      </c>
      <c r="B24" s="267"/>
      <c r="C24" s="246">
        <v>9200244</v>
      </c>
      <c r="D24" s="246">
        <f>I24-C24</f>
        <v>672659</v>
      </c>
      <c r="E24" s="246">
        <v>672659</v>
      </c>
      <c r="F24" s="247"/>
      <c r="G24" s="246">
        <v>0</v>
      </c>
      <c r="H24" s="247"/>
      <c r="I24" s="246">
        <v>9872903</v>
      </c>
      <c r="J24" s="246">
        <v>10138237.530000007</v>
      </c>
      <c r="K24" s="246">
        <v>0</v>
      </c>
      <c r="L24" s="246">
        <v>9493616</v>
      </c>
      <c r="M24" s="246">
        <f>I24-L24</f>
        <v>379287</v>
      </c>
      <c r="N24" s="248">
        <f t="shared" si="2"/>
        <v>0</v>
      </c>
    </row>
    <row r="25" spans="1:14" s="28" customFormat="1" ht="18" customHeight="1" thickBot="1">
      <c r="A25" s="258" t="s">
        <v>35</v>
      </c>
      <c r="B25" s="258"/>
      <c r="C25" s="260">
        <f>SUM(C23,C24)</f>
        <v>27055802</v>
      </c>
      <c r="D25" s="260">
        <f>SUM(D23,D24)</f>
        <v>9746774</v>
      </c>
      <c r="E25" s="260">
        <v>9746774</v>
      </c>
      <c r="F25" s="260"/>
      <c r="G25" s="260">
        <f>SUM(G23,G24)</f>
        <v>0</v>
      </c>
      <c r="H25" s="260"/>
      <c r="I25" s="260">
        <f>SUM(I23,I24)</f>
        <v>36802576</v>
      </c>
      <c r="J25" s="260">
        <f>SUM(J23,J24)</f>
        <v>25918708.899999991</v>
      </c>
      <c r="K25" s="260">
        <f>SUM(K23,K24)</f>
        <v>3762919.3399999994</v>
      </c>
      <c r="L25" s="260">
        <f>SUM(L23,L24)</f>
        <v>31635238</v>
      </c>
      <c r="M25" s="260">
        <f>SUM(M23,M24)</f>
        <v>5167338</v>
      </c>
      <c r="N25" s="248">
        <f>E25+G25-D25</f>
        <v>0</v>
      </c>
    </row>
    <row r="26" spans="1:14" s="28" customFormat="1" ht="16.5" customHeight="1" thickTop="1">
      <c r="A26" s="262"/>
      <c r="B26" s="267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48"/>
    </row>
    <row r="27" spans="1:14" s="28" customFormat="1" ht="16.5" customHeight="1">
      <c r="A27" s="273" t="s">
        <v>38</v>
      </c>
      <c r="B27" s="267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43"/>
    </row>
    <row r="28" spans="1:14" s="28" customFormat="1" ht="16.5" customHeight="1">
      <c r="A28" s="389" t="s">
        <v>209</v>
      </c>
      <c r="B28" s="277" t="s">
        <v>312</v>
      </c>
      <c r="C28" s="276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43"/>
    </row>
    <row r="29" spans="1:14" s="28" customFormat="1" ht="16.5" customHeight="1">
      <c r="A29" s="389" t="s">
        <v>210</v>
      </c>
      <c r="B29" s="277" t="s">
        <v>329</v>
      </c>
      <c r="C29" s="276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43"/>
    </row>
    <row r="30" spans="1:14" s="28" customFormat="1" ht="16.5" customHeight="1">
      <c r="A30" s="389" t="s">
        <v>337</v>
      </c>
      <c r="B30" s="277" t="s">
        <v>340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43"/>
    </row>
    <row r="31" spans="1:14" s="28" customFormat="1" ht="16.5" customHeight="1">
      <c r="A31" s="154" t="s">
        <v>523</v>
      </c>
      <c r="B31" s="155" t="s">
        <v>524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43"/>
    </row>
    <row r="32" spans="1:14" s="28" customFormat="1" ht="16.5" customHeight="1">
      <c r="A32" s="274"/>
      <c r="B32" s="27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9" s="28" customFormat="1" ht="15.6">
      <c r="A33" s="371"/>
      <c r="B33" s="243"/>
      <c r="F33" s="36"/>
      <c r="G33" s="36"/>
      <c r="H33" s="36"/>
    </row>
    <row r="34" spans="1:9" s="28" customFormat="1" ht="14.4">
      <c r="A34" s="34"/>
      <c r="B34" s="34"/>
      <c r="F34" s="36"/>
      <c r="G34" s="36"/>
      <c r="H34" s="36"/>
    </row>
    <row r="35" spans="1:9" s="28" customFormat="1" ht="14.4">
      <c r="A35" s="59"/>
      <c r="B35" s="34"/>
      <c r="F35" s="36"/>
      <c r="G35" s="36"/>
      <c r="H35" s="36"/>
      <c r="I35" s="38"/>
    </row>
    <row r="36" spans="1:9" s="28" customFormat="1" ht="14.4">
      <c r="A36" s="59"/>
      <c r="B36" s="34"/>
      <c r="F36" s="36"/>
      <c r="G36" s="36"/>
      <c r="H36" s="36"/>
      <c r="I36" s="38"/>
    </row>
    <row r="37" spans="1:9" s="28" customFormat="1" ht="14.4">
      <c r="A37" s="59"/>
      <c r="B37" s="34"/>
      <c r="F37" s="36"/>
      <c r="G37" s="36"/>
      <c r="H37" s="36"/>
    </row>
    <row r="38" spans="1:9" s="28" customFormat="1" ht="14.4">
      <c r="A38" s="59"/>
      <c r="B38" s="34"/>
      <c r="F38" s="36"/>
      <c r="G38" s="36"/>
      <c r="H38" s="36"/>
    </row>
    <row r="39" spans="1:9" s="28" customFormat="1" ht="14.4">
      <c r="A39" s="59"/>
      <c r="B39" s="34"/>
      <c r="F39" s="36"/>
      <c r="G39" s="36"/>
      <c r="H39" s="36"/>
    </row>
    <row r="40" spans="1:9" s="28" customFormat="1" ht="14.4">
      <c r="A40" s="59"/>
      <c r="B40" s="34"/>
      <c r="F40" s="36"/>
      <c r="G40" s="36"/>
      <c r="H40" s="36"/>
    </row>
    <row r="41" spans="1:9" s="28" customFormat="1" ht="14.4">
      <c r="A41" s="59"/>
      <c r="B41" s="34"/>
      <c r="F41" s="36"/>
      <c r="G41" s="36"/>
      <c r="H41" s="36"/>
    </row>
    <row r="42" spans="1:9" s="28" customFormat="1" ht="14.4">
      <c r="A42" s="59"/>
      <c r="B42" s="34"/>
      <c r="F42" s="36"/>
      <c r="G42" s="36"/>
      <c r="H42" s="36"/>
    </row>
    <row r="43" spans="1:9" s="28" customFormat="1" ht="14.4">
      <c r="A43" s="59"/>
      <c r="B43" s="34"/>
      <c r="F43" s="36"/>
      <c r="G43" s="36"/>
      <c r="H43" s="36"/>
    </row>
    <row r="44" spans="1:9" s="28" customFormat="1" ht="14.4">
      <c r="A44" s="59"/>
      <c r="B44" s="34"/>
      <c r="F44" s="36"/>
      <c r="G44" s="36"/>
      <c r="H44" s="36"/>
    </row>
    <row r="45" spans="1:9" s="28" customFormat="1" ht="14.4">
      <c r="A45" s="59"/>
      <c r="B45" s="34"/>
      <c r="F45" s="36"/>
      <c r="G45" s="36"/>
      <c r="H45" s="36"/>
    </row>
    <row r="46" spans="1:9" s="28" customFormat="1" ht="14.4">
      <c r="A46" s="59"/>
      <c r="B46" s="34"/>
      <c r="F46" s="36"/>
      <c r="G46" s="36"/>
      <c r="H46" s="36"/>
    </row>
    <row r="47" spans="1:9" s="28" customFormat="1" ht="13.8">
      <c r="A47" s="37"/>
      <c r="F47" s="36"/>
      <c r="G47" s="36"/>
      <c r="H47" s="36"/>
    </row>
    <row r="48" spans="1:9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A51" s="37"/>
      <c r="F51" s="36"/>
      <c r="G51" s="36"/>
      <c r="H51" s="36"/>
    </row>
    <row r="52" spans="1:8" s="28" customFormat="1" ht="13.8">
      <c r="A52" s="37"/>
      <c r="F52" s="36"/>
      <c r="G52" s="36"/>
      <c r="H52" s="36"/>
    </row>
    <row r="53" spans="1:8" s="28" customFormat="1" ht="13.8">
      <c r="A53" s="37"/>
      <c r="F53" s="36"/>
      <c r="G53" s="36"/>
      <c r="H53" s="36"/>
    </row>
    <row r="54" spans="1:8" s="28" customFormat="1" ht="13.8">
      <c r="A54" s="37"/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  <row r="82" spans="6:8" s="28" customFormat="1" ht="13.8">
      <c r="F82" s="36"/>
      <c r="G82" s="36"/>
      <c r="H82" s="36"/>
    </row>
    <row r="83" spans="6:8" s="28" customFormat="1" ht="13.8">
      <c r="F83" s="36"/>
      <c r="G83" s="36"/>
      <c r="H83" s="36"/>
    </row>
    <row r="84" spans="6:8" s="28" customFormat="1" ht="13.8">
      <c r="F84" s="36"/>
      <c r="G84" s="36"/>
      <c r="H84" s="36"/>
    </row>
    <row r="85" spans="6:8" s="28" customFormat="1" ht="13.8">
      <c r="F85" s="36"/>
      <c r="G85" s="36"/>
      <c r="H85" s="36"/>
    </row>
  </sheetData>
  <mergeCells count="1">
    <mergeCell ref="A7:B7"/>
  </mergeCells>
  <phoneticPr fontId="56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69" t="s">
        <v>3</v>
      </c>
      <c r="B1" s="669"/>
      <c r="C1" s="669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70" t="s">
        <v>196</v>
      </c>
      <c r="B2" s="670"/>
      <c r="C2" s="670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68" t="s">
        <v>195</v>
      </c>
      <c r="B3" s="668"/>
      <c r="C3" s="668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169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165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Normal="100" workbookViewId="0">
      <selection activeCell="D19" sqref="D19"/>
    </sheetView>
  </sheetViews>
  <sheetFormatPr defaultColWidth="9.109375" defaultRowHeight="13.2"/>
  <cols>
    <col min="1" max="1" width="7.109375" style="510" customWidth="1"/>
    <col min="2" max="2" width="77.88671875" style="510" customWidth="1"/>
    <col min="3" max="6" width="16.6640625" style="510" customWidth="1"/>
    <col min="7" max="8" width="12.33203125" style="510" customWidth="1"/>
    <col min="9" max="9" width="8.6640625" style="510" bestFit="1" customWidth="1"/>
    <col min="10" max="16384" width="9.109375" style="510"/>
  </cols>
  <sheetData>
    <row r="1" spans="1:56" s="489" customFormat="1" ht="16.5" customHeight="1">
      <c r="A1" s="671" t="s">
        <v>3</v>
      </c>
      <c r="B1" s="671"/>
      <c r="C1" s="671"/>
      <c r="D1" s="671"/>
      <c r="E1" s="671"/>
      <c r="F1" s="671"/>
      <c r="G1" s="515"/>
      <c r="H1" s="515"/>
      <c r="I1" s="515"/>
    </row>
    <row r="2" spans="1:56" s="489" customFormat="1" ht="16.5" customHeight="1">
      <c r="A2" s="671" t="s">
        <v>541</v>
      </c>
      <c r="B2" s="671"/>
      <c r="C2" s="671"/>
      <c r="D2" s="671"/>
      <c r="E2" s="671"/>
      <c r="F2" s="671"/>
      <c r="G2" s="515"/>
      <c r="H2" s="515"/>
      <c r="I2" s="515"/>
    </row>
    <row r="3" spans="1:56" s="489" customFormat="1" ht="16.5" customHeight="1">
      <c r="A3" s="672" t="s">
        <v>586</v>
      </c>
      <c r="B3" s="672"/>
      <c r="C3" s="672"/>
      <c r="D3" s="672"/>
      <c r="E3" s="672"/>
      <c r="F3" s="672"/>
      <c r="G3" s="515"/>
      <c r="H3" s="515"/>
      <c r="I3" s="515"/>
    </row>
    <row r="4" spans="1:56" s="489" customFormat="1" ht="15.6">
      <c r="A4" s="673" t="s">
        <v>152</v>
      </c>
      <c r="B4" s="673"/>
      <c r="C4" s="673"/>
      <c r="D4" s="673"/>
      <c r="E4" s="673"/>
      <c r="F4" s="673"/>
    </row>
    <row r="5" spans="1:56" s="490" customFormat="1" ht="15.6">
      <c r="E5" s="491" t="s">
        <v>152</v>
      </c>
    </row>
    <row r="6" spans="1:56" s="494" customFormat="1" ht="33.450000000000003" customHeight="1">
      <c r="A6" s="492"/>
      <c r="B6" s="493" t="s">
        <v>42</v>
      </c>
      <c r="C6" s="492" t="s">
        <v>517</v>
      </c>
      <c r="D6" s="492" t="s">
        <v>518</v>
      </c>
      <c r="E6" s="492" t="s">
        <v>587</v>
      </c>
      <c r="F6" s="492" t="s">
        <v>441</v>
      </c>
    </row>
    <row r="7" spans="1:56" s="489" customFormat="1" ht="9" customHeight="1">
      <c r="A7" s="495"/>
      <c r="B7" s="496"/>
      <c r="C7" s="495"/>
      <c r="D7" s="495"/>
      <c r="E7" s="495"/>
      <c r="F7" s="495"/>
    </row>
    <row r="8" spans="1:56" s="489" customFormat="1" ht="18.899999999999999" customHeight="1">
      <c r="A8" s="497">
        <v>1</v>
      </c>
      <c r="B8" s="498" t="s">
        <v>43</v>
      </c>
      <c r="C8" s="309">
        <v>872949.63547012897</v>
      </c>
      <c r="D8" s="309">
        <v>767999</v>
      </c>
      <c r="E8" s="309">
        <v>775460.7005656308</v>
      </c>
      <c r="F8" s="339">
        <f t="shared" ref="F8:F18" si="0">+E8-C8</f>
        <v>-97488.934904498165</v>
      </c>
      <c r="G8" s="499"/>
      <c r="H8" s="500"/>
      <c r="I8" s="500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</row>
    <row r="9" spans="1:56" s="489" customFormat="1" ht="18.899999999999999" customHeight="1">
      <c r="A9" s="497">
        <f t="shared" ref="A9:A18" si="1">A8+1</f>
        <v>2</v>
      </c>
      <c r="B9" s="498" t="s">
        <v>44</v>
      </c>
      <c r="C9" s="309">
        <v>298843</v>
      </c>
      <c r="D9" s="309">
        <v>294763</v>
      </c>
      <c r="E9" s="309">
        <v>295143.53444352403</v>
      </c>
      <c r="F9" s="339">
        <f t="shared" si="0"/>
        <v>-3699.4655564759742</v>
      </c>
      <c r="G9" s="499"/>
      <c r="H9" s="500"/>
      <c r="I9" s="500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</row>
    <row r="10" spans="1:56" s="489" customFormat="1" ht="18.899999999999999" customHeight="1">
      <c r="A10" s="497">
        <f t="shared" si="1"/>
        <v>3</v>
      </c>
      <c r="B10" s="498" t="s">
        <v>184</v>
      </c>
      <c r="C10" s="309">
        <v>120924.14111520226</v>
      </c>
      <c r="D10" s="309">
        <v>116848</v>
      </c>
      <c r="E10" s="309">
        <v>117261.90114724581</v>
      </c>
      <c r="F10" s="339">
        <f t="shared" si="0"/>
        <v>-3662.2399679564551</v>
      </c>
      <c r="G10" s="499"/>
      <c r="H10" s="500"/>
      <c r="I10" s="500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</row>
    <row r="11" spans="1:56" s="503" customFormat="1" ht="18.899999999999999" customHeight="1">
      <c r="A11" s="497">
        <f t="shared" si="1"/>
        <v>4</v>
      </c>
      <c r="B11" s="498" t="s">
        <v>45</v>
      </c>
      <c r="C11" s="309">
        <v>180316</v>
      </c>
      <c r="D11" s="309">
        <v>163143</v>
      </c>
      <c r="E11" s="309">
        <v>163163.91259638447</v>
      </c>
      <c r="F11" s="339">
        <f t="shared" si="0"/>
        <v>-17152.087403615529</v>
      </c>
      <c r="G11" s="501"/>
      <c r="H11" s="502"/>
      <c r="I11" s="502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1"/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</row>
    <row r="12" spans="1:56" s="489" customFormat="1" ht="18.899999999999999" customHeight="1">
      <c r="A12" s="497">
        <f t="shared" si="1"/>
        <v>5</v>
      </c>
      <c r="B12" s="498" t="s">
        <v>185</v>
      </c>
      <c r="C12" s="309">
        <v>91493.509887065462</v>
      </c>
      <c r="D12" s="309">
        <v>76875</v>
      </c>
      <c r="E12" s="309">
        <v>84752.691518499996</v>
      </c>
      <c r="F12" s="339">
        <f t="shared" si="0"/>
        <v>-6740.8183685654658</v>
      </c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</row>
    <row r="13" spans="1:56" s="489" customFormat="1" ht="18.899999999999999" customHeight="1">
      <c r="A13" s="497">
        <f t="shared" si="1"/>
        <v>6</v>
      </c>
      <c r="B13" s="498" t="s">
        <v>186</v>
      </c>
      <c r="C13" s="309">
        <v>31.4</v>
      </c>
      <c r="D13" s="398">
        <v>32.157466945365606</v>
      </c>
      <c r="E13" s="310">
        <v>32.300100700032232</v>
      </c>
      <c r="F13" s="373">
        <f t="shared" si="0"/>
        <v>0.90010070003223319</v>
      </c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</row>
    <row r="14" spans="1:56" s="489" customFormat="1" ht="18.899999999999999" customHeight="1">
      <c r="A14" s="497">
        <f t="shared" si="1"/>
        <v>7</v>
      </c>
      <c r="B14" s="498" t="s">
        <v>253</v>
      </c>
      <c r="C14" s="309">
        <v>31163</v>
      </c>
      <c r="D14" s="309">
        <v>31709.666666666668</v>
      </c>
      <c r="E14" s="311">
        <v>31674.638005833334</v>
      </c>
      <c r="F14" s="339">
        <f t="shared" si="0"/>
        <v>511.63800583333432</v>
      </c>
      <c r="G14" s="499" t="s">
        <v>152</v>
      </c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</row>
    <row r="15" spans="1:56" s="489" customFormat="1" ht="18.899999999999999" customHeight="1">
      <c r="A15" s="497">
        <f t="shared" si="1"/>
        <v>8</v>
      </c>
      <c r="B15" s="498" t="s">
        <v>529</v>
      </c>
      <c r="C15" s="309">
        <v>15876</v>
      </c>
      <c r="D15" s="381">
        <v>16759.247642335136</v>
      </c>
      <c r="E15" s="309">
        <v>16778.578057802824</v>
      </c>
      <c r="F15" s="309">
        <f t="shared" si="0"/>
        <v>902.57805780282433</v>
      </c>
      <c r="G15" s="499" t="s">
        <v>152</v>
      </c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</row>
    <row r="16" spans="1:56" s="503" customFormat="1" ht="18.899999999999999" customHeight="1">
      <c r="A16" s="497">
        <f t="shared" si="1"/>
        <v>9</v>
      </c>
      <c r="B16" s="498" t="s">
        <v>530</v>
      </c>
      <c r="C16" s="309">
        <v>52209</v>
      </c>
      <c r="D16" s="381">
        <v>51939.696766853071</v>
      </c>
      <c r="E16" s="309">
        <v>51908.196908221085</v>
      </c>
      <c r="F16" s="309">
        <f t="shared" si="0"/>
        <v>-300.80309177891468</v>
      </c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</row>
    <row r="17" spans="1:56" s="503" customFormat="1" ht="18.899999999999999" customHeight="1">
      <c r="A17" s="497">
        <f t="shared" si="1"/>
        <v>10</v>
      </c>
      <c r="B17" s="498" t="s">
        <v>531</v>
      </c>
      <c r="C17" s="309">
        <v>6227</v>
      </c>
      <c r="D17" s="381">
        <v>6507.473887947006</v>
      </c>
      <c r="E17" s="309">
        <v>6234.390554613673</v>
      </c>
      <c r="F17" s="309">
        <f t="shared" si="0"/>
        <v>7.3905546136729754</v>
      </c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</row>
    <row r="18" spans="1:56" s="503" customFormat="1" ht="18.899999999999999" customHeight="1">
      <c r="A18" s="504">
        <f t="shared" si="1"/>
        <v>11</v>
      </c>
      <c r="B18" s="505" t="s">
        <v>532</v>
      </c>
      <c r="C18" s="363">
        <v>5993.898657179644</v>
      </c>
      <c r="D18" s="382">
        <v>7789.3208116184433</v>
      </c>
      <c r="E18" s="363">
        <v>8064.3202473933025</v>
      </c>
      <c r="F18" s="363">
        <f t="shared" si="0"/>
        <v>2070.4215902136584</v>
      </c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</row>
    <row r="19" spans="1:56" s="503" customFormat="1" ht="15.6">
      <c r="A19" s="506"/>
      <c r="B19" s="506"/>
      <c r="C19" s="312"/>
      <c r="D19" s="340"/>
      <c r="E19" s="340"/>
      <c r="F19" s="340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</row>
    <row r="20" spans="1:56" s="503" customFormat="1" ht="15.6">
      <c r="A20" s="507"/>
      <c r="B20" s="508"/>
      <c r="C20" s="340"/>
      <c r="D20" s="340"/>
      <c r="E20" s="340"/>
      <c r="F20" s="340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</row>
    <row r="21" spans="1:56" s="503" customFormat="1" ht="15.6">
      <c r="A21" s="507"/>
      <c r="B21" s="506"/>
      <c r="C21" s="340"/>
      <c r="D21" s="340"/>
      <c r="E21" s="340"/>
      <c r="F21" s="340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  <c r="BD21" s="501"/>
    </row>
    <row r="22" spans="1:56" ht="15.6">
      <c r="A22" s="507"/>
      <c r="B22" s="509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</row>
    <row r="23" spans="1:56" ht="15.6">
      <c r="A23" s="512"/>
      <c r="B23" s="513"/>
    </row>
    <row r="25" spans="1:56" ht="15.6">
      <c r="A25" s="512"/>
      <c r="B25" s="512"/>
    </row>
    <row r="40" spans="4:4">
      <c r="D40" s="514"/>
    </row>
    <row r="41" spans="4:4">
      <c r="D41" s="514"/>
    </row>
    <row r="42" spans="4:4">
      <c r="D42" s="514"/>
    </row>
    <row r="43" spans="4:4">
      <c r="D43" s="514"/>
    </row>
    <row r="44" spans="4:4">
      <c r="D44" s="514"/>
    </row>
    <row r="45" spans="4:4">
      <c r="D45" s="514"/>
    </row>
    <row r="46" spans="4:4">
      <c r="D46" s="514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8" orientation="landscape" r:id="rId1"/>
  <headerFooter alignWithMargins="0">
    <oddFooter>&amp;L&amp;8&amp;Z&amp;F&amp;C&amp;8 &amp;R&amp;8 Management Reporting and Statistics
Data as of 2/7/2018
Log #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0" zoomScaleNormal="80" workbookViewId="0">
      <selection activeCell="A4" sqref="A4"/>
    </sheetView>
  </sheetViews>
  <sheetFormatPr defaultColWidth="8.88671875" defaultRowHeight="13.2"/>
  <cols>
    <col min="1" max="1" width="73.33203125" style="360" bestFit="1" customWidth="1"/>
    <col min="2" max="2" width="25.88671875" style="436" customWidth="1"/>
    <col min="3" max="3" width="20.6640625" style="360" customWidth="1"/>
    <col min="4" max="5" width="24.88671875" style="360" bestFit="1" customWidth="1"/>
    <col min="6" max="16384" width="8.88671875" style="360"/>
  </cols>
  <sheetData>
    <row r="1" spans="1:10" s="109" customFormat="1" ht="16.5" customHeight="1">
      <c r="A1" s="674" t="s">
        <v>3</v>
      </c>
      <c r="B1" s="674"/>
      <c r="C1" s="674"/>
      <c r="D1" s="674"/>
      <c r="E1" s="674"/>
      <c r="F1" s="674"/>
      <c r="G1" s="674"/>
      <c r="H1" s="283"/>
      <c r="I1" s="283"/>
      <c r="J1" s="283"/>
    </row>
    <row r="2" spans="1:10" s="109" customFormat="1" ht="16.5" customHeight="1">
      <c r="A2" s="674" t="s">
        <v>542</v>
      </c>
      <c r="B2" s="674"/>
      <c r="C2" s="674"/>
      <c r="D2" s="674"/>
      <c r="E2" s="674"/>
      <c r="F2" s="674"/>
      <c r="G2" s="674"/>
      <c r="H2" s="283"/>
      <c r="I2" s="283"/>
      <c r="J2" s="283"/>
    </row>
    <row r="3" spans="1:10" s="109" customFormat="1" ht="16.5" customHeight="1">
      <c r="A3" s="675" t="s">
        <v>586</v>
      </c>
      <c r="B3" s="675"/>
      <c r="C3" s="675"/>
      <c r="D3" s="675"/>
      <c r="E3" s="675"/>
      <c r="F3" s="675"/>
      <c r="G3" s="675"/>
      <c r="H3" s="283"/>
      <c r="I3" s="283"/>
      <c r="J3" s="283"/>
    </row>
    <row r="5" spans="1:10" ht="15.6">
      <c r="A5" s="433" t="s">
        <v>341</v>
      </c>
      <c r="B5" s="434"/>
      <c r="C5" s="434" t="s">
        <v>342</v>
      </c>
      <c r="D5" s="435"/>
      <c r="E5" s="436"/>
    </row>
    <row r="6" spans="1:10" ht="15.6">
      <c r="A6" s="433" t="s">
        <v>343</v>
      </c>
      <c r="B6" s="434"/>
      <c r="C6" s="434" t="s">
        <v>344</v>
      </c>
      <c r="D6" s="434" t="s">
        <v>345</v>
      </c>
      <c r="E6" s="434" t="s">
        <v>346</v>
      </c>
    </row>
    <row r="7" spans="1:10" ht="15.6">
      <c r="A7" s="437"/>
      <c r="B7" s="438"/>
    </row>
    <row r="8" spans="1:10" ht="31.2">
      <c r="A8" s="437" t="s">
        <v>347</v>
      </c>
      <c r="B8" s="438" t="s">
        <v>348</v>
      </c>
      <c r="C8" s="439" t="s">
        <v>349</v>
      </c>
      <c r="D8" s="438" t="s">
        <v>336</v>
      </c>
      <c r="E8" s="438" t="s">
        <v>336</v>
      </c>
      <c r="F8" s="437"/>
    </row>
    <row r="9" spans="1:10" ht="31.2">
      <c r="A9" s="437" t="s">
        <v>350</v>
      </c>
      <c r="B9" s="438" t="s">
        <v>351</v>
      </c>
      <c r="C9" s="439" t="s">
        <v>352</v>
      </c>
      <c r="D9" s="438" t="s">
        <v>357</v>
      </c>
      <c r="E9" s="438" t="s">
        <v>357</v>
      </c>
    </row>
    <row r="10" spans="1:10" ht="31.2">
      <c r="A10" s="437" t="s">
        <v>354</v>
      </c>
      <c r="B10" s="438" t="s">
        <v>355</v>
      </c>
      <c r="C10" s="439" t="s">
        <v>356</v>
      </c>
      <c r="D10" s="438" t="s">
        <v>357</v>
      </c>
      <c r="E10" s="438" t="s">
        <v>357</v>
      </c>
      <c r="G10" s="437"/>
    </row>
    <row r="11" spans="1:10" ht="31.2">
      <c r="A11" s="437" t="s">
        <v>358</v>
      </c>
      <c r="B11" s="438" t="s">
        <v>359</v>
      </c>
      <c r="C11" s="439" t="s">
        <v>360</v>
      </c>
      <c r="D11" s="438" t="s">
        <v>336</v>
      </c>
      <c r="E11" s="438" t="s">
        <v>336</v>
      </c>
    </row>
    <row r="12" spans="1:10" ht="31.2">
      <c r="A12" s="437" t="s">
        <v>423</v>
      </c>
      <c r="B12" s="438" t="s">
        <v>424</v>
      </c>
      <c r="C12" s="439" t="s">
        <v>425</v>
      </c>
      <c r="D12" s="438" t="s">
        <v>336</v>
      </c>
      <c r="E12" s="438" t="s">
        <v>336</v>
      </c>
    </row>
    <row r="13" spans="1:10" ht="31.2">
      <c r="A13" s="437" t="s">
        <v>445</v>
      </c>
      <c r="B13" s="438" t="s">
        <v>444</v>
      </c>
      <c r="C13" s="439">
        <v>43159</v>
      </c>
      <c r="D13" s="438" t="s">
        <v>254</v>
      </c>
      <c r="E13" s="438" t="s">
        <v>254</v>
      </c>
      <c r="G13" s="437"/>
    </row>
    <row r="14" spans="1:10" ht="46.8">
      <c r="A14" s="437" t="s">
        <v>448</v>
      </c>
      <c r="B14" s="438" t="s">
        <v>447</v>
      </c>
      <c r="C14" s="439">
        <v>43209</v>
      </c>
      <c r="D14" s="438" t="s">
        <v>336</v>
      </c>
      <c r="E14" s="438" t="s">
        <v>336</v>
      </c>
    </row>
    <row r="15" spans="1:10" ht="46.8">
      <c r="A15" s="437" t="s">
        <v>456</v>
      </c>
      <c r="B15" s="438" t="s">
        <v>457</v>
      </c>
      <c r="C15" s="439">
        <v>43217</v>
      </c>
      <c r="D15" s="438" t="s">
        <v>254</v>
      </c>
      <c r="E15" s="438" t="s">
        <v>254</v>
      </c>
    </row>
    <row r="16" spans="1:10" ht="15.6">
      <c r="A16" s="437" t="s">
        <v>458</v>
      </c>
      <c r="B16" s="438" t="s">
        <v>459</v>
      </c>
      <c r="C16" s="439">
        <v>43222</v>
      </c>
      <c r="D16" s="438" t="s">
        <v>336</v>
      </c>
      <c r="E16" s="438" t="s">
        <v>336</v>
      </c>
    </row>
    <row r="17" spans="1:5" ht="31.2">
      <c r="A17" s="437" t="s">
        <v>461</v>
      </c>
      <c r="B17" s="438" t="s">
        <v>462</v>
      </c>
      <c r="C17" s="439">
        <v>43269</v>
      </c>
      <c r="D17" s="438" t="s">
        <v>336</v>
      </c>
      <c r="E17" s="438" t="s">
        <v>336</v>
      </c>
    </row>
    <row r="18" spans="1:5" ht="31.2">
      <c r="A18" s="437" t="s">
        <v>478</v>
      </c>
      <c r="B18" s="438" t="s">
        <v>474</v>
      </c>
      <c r="C18" s="439">
        <v>43322</v>
      </c>
      <c r="D18" s="438" t="s">
        <v>487</v>
      </c>
      <c r="E18" s="438" t="s">
        <v>487</v>
      </c>
    </row>
    <row r="19" spans="1:5" ht="31.2">
      <c r="A19" s="437" t="s">
        <v>467</v>
      </c>
      <c r="B19" s="438" t="s">
        <v>466</v>
      </c>
      <c r="C19" s="439">
        <v>43322</v>
      </c>
      <c r="D19" s="438" t="s">
        <v>336</v>
      </c>
      <c r="E19" s="438" t="s">
        <v>487</v>
      </c>
    </row>
    <row r="20" spans="1:5" ht="31.2">
      <c r="A20" s="437" t="s">
        <v>480</v>
      </c>
      <c r="B20" s="438" t="s">
        <v>484</v>
      </c>
      <c r="C20" s="439">
        <v>43353</v>
      </c>
      <c r="D20" s="438" t="s">
        <v>549</v>
      </c>
      <c r="E20" s="438" t="s">
        <v>549</v>
      </c>
    </row>
    <row r="21" spans="1:5" ht="31.2">
      <c r="A21" s="437" t="s">
        <v>481</v>
      </c>
      <c r="B21" s="438" t="s">
        <v>485</v>
      </c>
      <c r="C21" s="439">
        <v>43355</v>
      </c>
      <c r="D21" s="438" t="s">
        <v>336</v>
      </c>
      <c r="E21" s="438" t="s">
        <v>336</v>
      </c>
    </row>
    <row r="22" spans="1:5" ht="31.2">
      <c r="A22" s="437" t="s">
        <v>479</v>
      </c>
      <c r="B22" s="438" t="s">
        <v>486</v>
      </c>
      <c r="C22" s="439">
        <v>43368</v>
      </c>
      <c r="D22" s="438" t="s">
        <v>521</v>
      </c>
      <c r="E22" s="438" t="s">
        <v>521</v>
      </c>
    </row>
    <row r="23" spans="1:5" ht="31.2">
      <c r="A23" s="437" t="s">
        <v>488</v>
      </c>
      <c r="B23" s="438" t="s">
        <v>489</v>
      </c>
      <c r="C23" s="439">
        <v>43373</v>
      </c>
      <c r="D23" s="438" t="s">
        <v>521</v>
      </c>
      <c r="E23" s="438" t="s">
        <v>521</v>
      </c>
    </row>
    <row r="24" spans="1:5" ht="31.2">
      <c r="A24" s="437" t="s">
        <v>534</v>
      </c>
      <c r="B24" s="438" t="s">
        <v>533</v>
      </c>
      <c r="C24" s="439">
        <v>43474</v>
      </c>
      <c r="D24" s="438" t="s">
        <v>336</v>
      </c>
      <c r="E24" s="438" t="s">
        <v>336</v>
      </c>
    </row>
    <row r="25" spans="1:5" ht="31.2">
      <c r="A25" s="437" t="s">
        <v>536</v>
      </c>
      <c r="B25" s="438" t="s">
        <v>535</v>
      </c>
      <c r="C25" s="439">
        <v>43510</v>
      </c>
      <c r="D25" s="438" t="s">
        <v>254</v>
      </c>
      <c r="E25" s="438" t="s">
        <v>254</v>
      </c>
    </row>
    <row r="26" spans="1:5" ht="15.6">
      <c r="A26" s="437" t="s">
        <v>568</v>
      </c>
      <c r="B26" s="438" t="s">
        <v>569</v>
      </c>
      <c r="C26" s="439">
        <v>43643</v>
      </c>
      <c r="D26" s="438" t="s">
        <v>353</v>
      </c>
      <c r="E26" s="438" t="s">
        <v>353</v>
      </c>
    </row>
    <row r="27" spans="1:5" ht="15.6">
      <c r="A27" s="437" t="s">
        <v>598</v>
      </c>
      <c r="B27" s="438" t="s">
        <v>599</v>
      </c>
      <c r="C27" s="439">
        <v>43719</v>
      </c>
      <c r="D27" s="438" t="s">
        <v>353</v>
      </c>
      <c r="E27" s="438" t="s">
        <v>353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W58"/>
  <sheetViews>
    <sheetView zoomScale="50" zoomScaleNormal="50" workbookViewId="0">
      <pane xSplit="3" ySplit="7" topLeftCell="BE8" activePane="bottomRight" state="frozen"/>
      <selection pane="topRight" activeCell="D1" sqref="D1"/>
      <selection pane="bottomLeft" activeCell="A8" sqref="A8"/>
      <selection pane="bottomRight" activeCell="BO59" sqref="BO59"/>
    </sheetView>
  </sheetViews>
  <sheetFormatPr defaultColWidth="9.109375" defaultRowHeight="16.2"/>
  <cols>
    <col min="1" max="1" width="15.44140625" style="536" customWidth="1"/>
    <col min="2" max="2" width="18.44140625" style="536" customWidth="1"/>
    <col min="3" max="3" width="83.5546875" style="536" customWidth="1"/>
    <col min="4" max="16" width="22.6640625" style="537" customWidth="1"/>
    <col min="17" max="17" width="24.33203125" style="536" customWidth="1"/>
    <col min="18" max="28" width="22.6640625" style="537" customWidth="1"/>
    <col min="29" max="30" width="23.6640625" style="537" customWidth="1"/>
    <col min="31" max="31" width="24.33203125" style="536" customWidth="1"/>
    <col min="32" max="42" width="20.109375" style="537" bestFit="1" customWidth="1"/>
    <col min="43" max="43" width="20.33203125" style="537" bestFit="1" customWidth="1"/>
    <col min="44" max="44" width="22.109375" style="538" bestFit="1" customWidth="1"/>
    <col min="45" max="45" width="23.5546875" style="536" customWidth="1"/>
    <col min="46" max="46" width="21" style="537" customWidth="1"/>
    <col min="47" max="47" width="21.88671875" style="537" bestFit="1" customWidth="1"/>
    <col min="48" max="49" width="20.88671875" style="537" customWidth="1"/>
    <col min="50" max="51" width="22.88671875" style="537" bestFit="1" customWidth="1"/>
    <col min="52" max="53" width="22.88671875" style="537" customWidth="1"/>
    <col min="54" max="54" width="20.88671875" style="537" customWidth="1"/>
    <col min="55" max="56" width="22.88671875" style="537" customWidth="1"/>
    <col min="57" max="57" width="21.88671875" style="537" bestFit="1" customWidth="1"/>
    <col min="58" max="58" width="25.6640625" style="537" bestFit="1" customWidth="1"/>
    <col min="59" max="59" width="22.6640625" style="536" customWidth="1"/>
    <col min="60" max="61" width="17.88671875" style="537" bestFit="1" customWidth="1"/>
    <col min="62" max="62" width="17.44140625" style="537" bestFit="1" customWidth="1"/>
    <col min="63" max="63" width="17.88671875" style="537" bestFit="1" customWidth="1"/>
    <col min="64" max="64" width="17.44140625" style="537" bestFit="1" customWidth="1"/>
    <col min="65" max="67" width="17.88671875" style="537" bestFit="1" customWidth="1"/>
    <col min="68" max="68" width="19.109375" style="537" bestFit="1" customWidth="1"/>
    <col min="69" max="69" width="17.44140625" style="537" bestFit="1" customWidth="1"/>
    <col min="70" max="71" width="17.88671875" style="537" bestFit="1" customWidth="1"/>
    <col min="72" max="72" width="24.5546875" style="537" bestFit="1" customWidth="1"/>
    <col min="73" max="73" width="24.109375" style="536" customWidth="1"/>
    <col min="74" max="74" width="22.44140625" style="539" bestFit="1" customWidth="1"/>
    <col min="75" max="75" width="16" style="537" bestFit="1" customWidth="1"/>
    <col min="76" max="16384" width="9.109375" style="537"/>
  </cols>
  <sheetData>
    <row r="1" spans="1:75">
      <c r="A1" s="536" t="s">
        <v>364</v>
      </c>
    </row>
    <row r="2" spans="1:75">
      <c r="A2" s="536" t="s">
        <v>365</v>
      </c>
      <c r="BE2" s="540"/>
    </row>
    <row r="3" spans="1:75">
      <c r="A3" s="536" t="s">
        <v>463</v>
      </c>
      <c r="AR3" s="537">
        <v>17981518.850000001</v>
      </c>
      <c r="AS3" s="541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8"/>
      <c r="BG3" s="541"/>
      <c r="BH3" s="538"/>
      <c r="BI3" s="538"/>
      <c r="BJ3" s="538"/>
      <c r="BK3" s="538"/>
      <c r="BL3" s="538"/>
      <c r="BM3" s="538"/>
      <c r="BN3" s="538"/>
      <c r="BO3" s="538"/>
      <c r="BP3" s="538"/>
      <c r="BQ3" s="538"/>
      <c r="BR3" s="538"/>
      <c r="BS3" s="542"/>
      <c r="BT3" s="542"/>
      <c r="BU3" s="542"/>
    </row>
    <row r="4" spans="1:75">
      <c r="A4" s="536" t="s">
        <v>595</v>
      </c>
      <c r="AR4" s="537"/>
      <c r="AS4" s="541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41"/>
      <c r="BH4" s="543"/>
      <c r="BI4" s="538"/>
      <c r="BJ4" s="538"/>
      <c r="BK4" s="538"/>
      <c r="BL4" s="538"/>
      <c r="BM4" s="538"/>
      <c r="BN4" s="538"/>
      <c r="BO4" s="538"/>
      <c r="BP4" s="538"/>
      <c r="BQ4" s="538"/>
      <c r="BR4" s="538"/>
      <c r="BS4" s="538"/>
      <c r="BT4" s="538"/>
      <c r="BU4" s="541"/>
    </row>
    <row r="5" spans="1:75" ht="16.8" thickBot="1">
      <c r="A5" s="536" t="s">
        <v>596</v>
      </c>
      <c r="AR5" s="537"/>
      <c r="AS5" s="541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41"/>
      <c r="BH5" s="538"/>
      <c r="BI5" s="538"/>
      <c r="BJ5" s="538"/>
      <c r="BK5" s="538"/>
      <c r="BL5" s="538"/>
      <c r="BM5" s="538"/>
      <c r="BN5" s="538"/>
      <c r="BO5" s="538"/>
      <c r="BP5" s="538"/>
      <c r="BQ5" s="538"/>
      <c r="BR5" s="538"/>
      <c r="BS5" s="538"/>
      <c r="BT5" s="538"/>
      <c r="BU5" s="541"/>
    </row>
    <row r="6" spans="1:75" s="536" customFormat="1" ht="16.8" thickBot="1">
      <c r="D6" s="544" t="s">
        <v>366</v>
      </c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6"/>
      <c r="R6" s="544" t="s">
        <v>367</v>
      </c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6"/>
      <c r="AF6" s="544" t="s">
        <v>368</v>
      </c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6"/>
      <c r="AT6" s="547" t="s">
        <v>369</v>
      </c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9"/>
      <c r="BH6" s="547" t="s">
        <v>370</v>
      </c>
      <c r="BI6" s="548"/>
      <c r="BJ6" s="548"/>
      <c r="BK6" s="548"/>
      <c r="BL6" s="548"/>
      <c r="BM6" s="548"/>
      <c r="BN6" s="548"/>
      <c r="BO6" s="548"/>
      <c r="BP6" s="548"/>
      <c r="BQ6" s="548"/>
      <c r="BR6" s="548"/>
      <c r="BS6" s="548"/>
      <c r="BT6" s="548"/>
      <c r="BU6" s="549"/>
      <c r="BV6" s="550"/>
    </row>
    <row r="7" spans="1:75" s="536" customFormat="1">
      <c r="A7" s="551"/>
      <c r="B7" s="552" t="s">
        <v>371</v>
      </c>
      <c r="C7" s="553" t="s">
        <v>372</v>
      </c>
      <c r="D7" s="554" t="s">
        <v>373</v>
      </c>
      <c r="E7" s="555" t="s">
        <v>374</v>
      </c>
      <c r="F7" s="555" t="s">
        <v>375</v>
      </c>
      <c r="G7" s="555" t="s">
        <v>376</v>
      </c>
      <c r="H7" s="555" t="s">
        <v>377</v>
      </c>
      <c r="I7" s="555" t="s">
        <v>378</v>
      </c>
      <c r="J7" s="555" t="s">
        <v>379</v>
      </c>
      <c r="K7" s="555" t="s">
        <v>380</v>
      </c>
      <c r="L7" s="555" t="s">
        <v>381</v>
      </c>
      <c r="M7" s="555" t="s">
        <v>382</v>
      </c>
      <c r="N7" s="555" t="s">
        <v>383</v>
      </c>
      <c r="O7" s="555" t="s">
        <v>384</v>
      </c>
      <c r="P7" s="555" t="s">
        <v>385</v>
      </c>
      <c r="Q7" s="556" t="s">
        <v>386</v>
      </c>
      <c r="R7" s="554" t="s">
        <v>373</v>
      </c>
      <c r="S7" s="555" t="s">
        <v>374</v>
      </c>
      <c r="T7" s="555" t="s">
        <v>375</v>
      </c>
      <c r="U7" s="555" t="s">
        <v>376</v>
      </c>
      <c r="V7" s="555" t="s">
        <v>377</v>
      </c>
      <c r="W7" s="555" t="s">
        <v>378</v>
      </c>
      <c r="X7" s="555" t="s">
        <v>379</v>
      </c>
      <c r="Y7" s="555" t="s">
        <v>380</v>
      </c>
      <c r="Z7" s="555" t="s">
        <v>381</v>
      </c>
      <c r="AA7" s="555" t="s">
        <v>382</v>
      </c>
      <c r="AB7" s="555" t="s">
        <v>383</v>
      </c>
      <c r="AC7" s="555" t="s">
        <v>384</v>
      </c>
      <c r="AD7" s="555" t="s">
        <v>387</v>
      </c>
      <c r="AE7" s="556" t="s">
        <v>388</v>
      </c>
      <c r="AF7" s="554" t="s">
        <v>373</v>
      </c>
      <c r="AG7" s="555" t="s">
        <v>374</v>
      </c>
      <c r="AH7" s="555" t="s">
        <v>375</v>
      </c>
      <c r="AI7" s="555" t="s">
        <v>376</v>
      </c>
      <c r="AJ7" s="555" t="s">
        <v>377</v>
      </c>
      <c r="AK7" s="555" t="s">
        <v>378</v>
      </c>
      <c r="AL7" s="555" t="s">
        <v>379</v>
      </c>
      <c r="AM7" s="555" t="s">
        <v>380</v>
      </c>
      <c r="AN7" s="555" t="s">
        <v>381</v>
      </c>
      <c r="AO7" s="555" t="s">
        <v>382</v>
      </c>
      <c r="AP7" s="555" t="s">
        <v>383</v>
      </c>
      <c r="AQ7" s="555" t="s">
        <v>384</v>
      </c>
      <c r="AR7" s="555" t="s">
        <v>389</v>
      </c>
      <c r="AS7" s="557" t="s">
        <v>390</v>
      </c>
      <c r="AT7" s="554" t="s">
        <v>373</v>
      </c>
      <c r="AU7" s="555" t="s">
        <v>374</v>
      </c>
      <c r="AV7" s="555" t="s">
        <v>375</v>
      </c>
      <c r="AW7" s="555" t="s">
        <v>376</v>
      </c>
      <c r="AX7" s="555" t="s">
        <v>377</v>
      </c>
      <c r="AY7" s="555" t="s">
        <v>378</v>
      </c>
      <c r="AZ7" s="555" t="s">
        <v>379</v>
      </c>
      <c r="BA7" s="555" t="s">
        <v>380</v>
      </c>
      <c r="BB7" s="555" t="s">
        <v>381</v>
      </c>
      <c r="BC7" s="555" t="s">
        <v>382</v>
      </c>
      <c r="BD7" s="555" t="s">
        <v>383</v>
      </c>
      <c r="BE7" s="555" t="s">
        <v>384</v>
      </c>
      <c r="BF7" s="555" t="s">
        <v>476</v>
      </c>
      <c r="BG7" s="556" t="s">
        <v>391</v>
      </c>
      <c r="BH7" s="554" t="s">
        <v>373</v>
      </c>
      <c r="BI7" s="555" t="s">
        <v>374</v>
      </c>
      <c r="BJ7" s="555" t="s">
        <v>375</v>
      </c>
      <c r="BK7" s="555" t="s">
        <v>376</v>
      </c>
      <c r="BL7" s="555" t="s">
        <v>377</v>
      </c>
      <c r="BM7" s="555" t="s">
        <v>378</v>
      </c>
      <c r="BN7" s="555" t="s">
        <v>379</v>
      </c>
      <c r="BO7" s="555" t="s">
        <v>380</v>
      </c>
      <c r="BP7" s="555" t="s">
        <v>381</v>
      </c>
      <c r="BQ7" s="555" t="s">
        <v>382</v>
      </c>
      <c r="BR7" s="555" t="s">
        <v>383</v>
      </c>
      <c r="BS7" s="555" t="s">
        <v>384</v>
      </c>
      <c r="BT7" s="555" t="s">
        <v>597</v>
      </c>
      <c r="BU7" s="556" t="s">
        <v>392</v>
      </c>
      <c r="BV7" s="550"/>
    </row>
    <row r="8" spans="1:75">
      <c r="A8" s="558"/>
      <c r="B8" s="559" t="s">
        <v>393</v>
      </c>
      <c r="C8" s="560" t="s">
        <v>258</v>
      </c>
      <c r="D8" s="561">
        <v>28110749.089139599</v>
      </c>
      <c r="E8" s="562">
        <v>29459010.69846081</v>
      </c>
      <c r="F8" s="562">
        <v>29620576.969121605</v>
      </c>
      <c r="G8" s="562">
        <v>29514801.812509999</v>
      </c>
      <c r="H8" s="562">
        <v>29147223.841874402</v>
      </c>
      <c r="I8" s="562">
        <v>29100046.674576789</v>
      </c>
      <c r="J8" s="562">
        <v>29383400.238588002</v>
      </c>
      <c r="K8" s="562">
        <v>29389361.124432806</v>
      </c>
      <c r="L8" s="562">
        <v>29662382.004026808</v>
      </c>
      <c r="M8" s="562">
        <v>29826953.556669205</v>
      </c>
      <c r="N8" s="562">
        <v>29845281.580890387</v>
      </c>
      <c r="O8" s="562">
        <v>29792771.355920393</v>
      </c>
      <c r="P8" s="562">
        <v>1605820.4494724057</v>
      </c>
      <c r="Q8" s="563">
        <v>354458379.39568323</v>
      </c>
      <c r="R8" s="561">
        <v>28564424.650169197</v>
      </c>
      <c r="S8" s="562">
        <v>30413121.770258803</v>
      </c>
      <c r="T8" s="562">
        <v>30554837.027816501</v>
      </c>
      <c r="U8" s="562">
        <v>36032829.759200402</v>
      </c>
      <c r="V8" s="562">
        <v>30605292.001195095</v>
      </c>
      <c r="W8" s="562">
        <v>30696882.618157309</v>
      </c>
      <c r="X8" s="562">
        <v>31236110.051646002</v>
      </c>
      <c r="Y8" s="562">
        <v>31923669.689132996</v>
      </c>
      <c r="Z8" s="562">
        <v>32412345.341463409</v>
      </c>
      <c r="AA8" s="562">
        <v>32794230.271418285</v>
      </c>
      <c r="AB8" s="562">
        <v>32878607.244682804</v>
      </c>
      <c r="AC8" s="562">
        <v>32737143.785016101</v>
      </c>
      <c r="AD8" s="562">
        <v>2776375.0201425739</v>
      </c>
      <c r="AE8" s="563">
        <v>383625869.23029941</v>
      </c>
      <c r="AF8" s="561">
        <f>30240619.5597763-0.1</f>
        <v>30240619.459776297</v>
      </c>
      <c r="AG8" s="562">
        <f>32772230.793044+0.09</f>
        <v>32772230.883044001</v>
      </c>
      <c r="AH8" s="562">
        <f>33259616.6636283+0.1</f>
        <v>33259616.7636283</v>
      </c>
      <c r="AI8" s="562">
        <f>38032841.3137193+0.33</f>
        <v>38032841.643719301</v>
      </c>
      <c r="AJ8" s="562">
        <f>39021488.3570476+0.21</f>
        <v>39021488.567047603</v>
      </c>
      <c r="AK8" s="562">
        <f>39817590.9609795-0.06</f>
        <v>39817590.900979497</v>
      </c>
      <c r="AL8" s="562">
        <f>41294758.3370234+0.19</f>
        <v>41294758.527023397</v>
      </c>
      <c r="AM8" s="562">
        <f>42886251.007947+0.24</f>
        <v>42886251.247947</v>
      </c>
      <c r="AN8" s="562">
        <f>44059237.7362954+0.26</f>
        <v>44059237.9962954</v>
      </c>
      <c r="AO8" s="562">
        <f>44095560.5493496+0.14</f>
        <v>44095560.689349599</v>
      </c>
      <c r="AP8" s="562">
        <f>43616480.0293876-0.05</f>
        <v>43616479.979387604</v>
      </c>
      <c r="AQ8" s="562">
        <f>43063426.8338586+0.07</f>
        <v>43063426.903858602</v>
      </c>
      <c r="AR8" s="562">
        <v>2832344.9999994831</v>
      </c>
      <c r="AS8" s="564">
        <f>SUM(AF8:AR8)</f>
        <v>474992448.56205601</v>
      </c>
      <c r="AT8" s="561">
        <v>40178538.679999985</v>
      </c>
      <c r="AU8" s="565">
        <v>42563019.474989302</v>
      </c>
      <c r="AV8" s="562">
        <v>42821435.770165443</v>
      </c>
      <c r="AW8" s="562">
        <v>42897451.544569984</v>
      </c>
      <c r="AX8" s="562">
        <v>41846974.469829969</v>
      </c>
      <c r="AY8" s="562">
        <v>41281821.607280031</v>
      </c>
      <c r="AZ8" s="562">
        <v>41291370.393440008</v>
      </c>
      <c r="BA8" s="562">
        <v>41724681.755485989</v>
      </c>
      <c r="BB8" s="562">
        <v>41994657.356036961</v>
      </c>
      <c r="BC8" s="562">
        <v>42606731.850560009</v>
      </c>
      <c r="BD8" s="562">
        <v>42656826.692839958</v>
      </c>
      <c r="BE8" s="562">
        <v>42418610.947793089</v>
      </c>
      <c r="BF8" s="562">
        <f>BG8-SUM(AT8:BE8)</f>
        <v>18806922.457009256</v>
      </c>
      <c r="BG8" s="563">
        <v>523089043</v>
      </c>
      <c r="BH8" s="566">
        <v>40582237.074123427</v>
      </c>
      <c r="BI8" s="567">
        <v>42436997.091877103</v>
      </c>
      <c r="BJ8" s="567">
        <v>42938428</v>
      </c>
      <c r="BK8" s="567">
        <v>43083671</v>
      </c>
      <c r="BL8" s="567">
        <v>42546166</v>
      </c>
      <c r="BM8" s="567">
        <v>42649746</v>
      </c>
      <c r="BN8" s="567">
        <v>42884290</v>
      </c>
      <c r="BO8" s="567">
        <v>43091810</v>
      </c>
      <c r="BP8" s="567">
        <v>43624029</v>
      </c>
      <c r="BQ8" s="567">
        <v>43801942.298371986</v>
      </c>
      <c r="BR8" s="567">
        <v>43529617</v>
      </c>
      <c r="BS8" s="567">
        <v>43170903.36060074</v>
      </c>
      <c r="BT8" s="567">
        <f t="shared" ref="BT8:BT21" si="0">BU8-(BH8+BI8+BJ8+BK8+BL8+BM8+BN8+BO8+BP8+BQ8+BR8+BS8)</f>
        <v>23710388.175026774</v>
      </c>
      <c r="BU8" s="568">
        <v>538050225</v>
      </c>
      <c r="BW8" s="540"/>
    </row>
    <row r="9" spans="1:75">
      <c r="A9" s="558"/>
      <c r="B9" s="559" t="s">
        <v>394</v>
      </c>
      <c r="C9" s="560" t="s">
        <v>259</v>
      </c>
      <c r="D9" s="561">
        <v>679583.18344959989</v>
      </c>
      <c r="E9" s="562">
        <v>741184.36438359972</v>
      </c>
      <c r="F9" s="562">
        <v>1029355.8895376001</v>
      </c>
      <c r="G9" s="562">
        <v>948859.0658456001</v>
      </c>
      <c r="H9" s="562">
        <v>998716.69232640031</v>
      </c>
      <c r="I9" s="562">
        <v>1161303.2355300006</v>
      </c>
      <c r="J9" s="562">
        <v>1052029.7701488002</v>
      </c>
      <c r="K9" s="562">
        <v>1184849.8204108002</v>
      </c>
      <c r="L9" s="562">
        <v>968469.8214988003</v>
      </c>
      <c r="M9" s="562">
        <v>1046090.6504340002</v>
      </c>
      <c r="N9" s="562">
        <v>1111525.8572880002</v>
      </c>
      <c r="O9" s="562">
        <v>1322525.1585571999</v>
      </c>
      <c r="P9" s="562">
        <v>1222388.1665287998</v>
      </c>
      <c r="Q9" s="563">
        <v>13466881.675939204</v>
      </c>
      <c r="R9" s="561">
        <v>698906.01491669985</v>
      </c>
      <c r="S9" s="562">
        <v>782106.34830289998</v>
      </c>
      <c r="T9" s="562">
        <v>961900.61455180019</v>
      </c>
      <c r="U9" s="562">
        <v>1162307.7482570012</v>
      </c>
      <c r="V9" s="562">
        <v>1153173.512054801</v>
      </c>
      <c r="W9" s="562">
        <v>1355203.9895499998</v>
      </c>
      <c r="X9" s="562">
        <v>1263737.6035626</v>
      </c>
      <c r="Y9" s="562">
        <v>1532120.0174977006</v>
      </c>
      <c r="Z9" s="562">
        <v>1407197.3933273002</v>
      </c>
      <c r="AA9" s="562">
        <v>1486250.3400383005</v>
      </c>
      <c r="AB9" s="562">
        <v>1597438.0674359009</v>
      </c>
      <c r="AC9" s="562">
        <v>2267241.6064028</v>
      </c>
      <c r="AD9" s="562">
        <v>1353344.0770899002</v>
      </c>
      <c r="AE9" s="563">
        <v>17020927.332987703</v>
      </c>
      <c r="AF9" s="561">
        <v>859681.51011050015</v>
      </c>
      <c r="AG9" s="562">
        <v>1025486.8092054001</v>
      </c>
      <c r="AH9" s="562">
        <v>1346915.7070115006</v>
      </c>
      <c r="AI9" s="562">
        <v>1319911.4044904001</v>
      </c>
      <c r="AJ9" s="562">
        <v>1553454.5960694002</v>
      </c>
      <c r="AK9" s="562">
        <v>2157183.7596289995</v>
      </c>
      <c r="AL9" s="562">
        <v>2318189.0607305001</v>
      </c>
      <c r="AM9" s="562">
        <v>2827795.7300205003</v>
      </c>
      <c r="AN9" s="562">
        <v>2741850.5694519989</v>
      </c>
      <c r="AO9" s="562">
        <v>2452613.2539055003</v>
      </c>
      <c r="AP9" s="562">
        <v>1948848.2878478989</v>
      </c>
      <c r="AQ9" s="562">
        <v>1423860.5197307002</v>
      </c>
      <c r="AR9" s="562">
        <v>-29.190000004746921</v>
      </c>
      <c r="AS9" s="564">
        <f t="shared" ref="AS9:AS20" si="1">SUM(AF9:AR9)</f>
        <v>21975762.018203296</v>
      </c>
      <c r="AT9" s="561">
        <v>829699.54</v>
      </c>
      <c r="AU9" s="565">
        <v>1020724.3362185725</v>
      </c>
      <c r="AV9" s="562">
        <v>1259710.160346875</v>
      </c>
      <c r="AW9" s="562">
        <v>1264053.6680600001</v>
      </c>
      <c r="AX9" s="562">
        <v>946570.74732999981</v>
      </c>
      <c r="AY9" s="562">
        <v>1352596.9120799999</v>
      </c>
      <c r="AZ9" s="562">
        <v>1290137.1786399998</v>
      </c>
      <c r="BA9" s="562">
        <v>1157293.2722219997</v>
      </c>
      <c r="BB9" s="562">
        <v>1335352.7863789999</v>
      </c>
      <c r="BC9" s="562">
        <v>1323683.4395839998</v>
      </c>
      <c r="BD9" s="562">
        <v>1352242.39087515</v>
      </c>
      <c r="BE9" s="562">
        <v>1580978.5401813141</v>
      </c>
      <c r="BF9" s="562">
        <f t="shared" ref="BF9:BF20" si="2">BG9-SUM(AT9:BE9)</f>
        <v>2809692.0280830897</v>
      </c>
      <c r="BG9" s="563">
        <v>17522735</v>
      </c>
      <c r="BH9" s="566">
        <v>854200.57756613975</v>
      </c>
      <c r="BI9" s="567">
        <v>856833.02</v>
      </c>
      <c r="BJ9" s="567">
        <v>838109</v>
      </c>
      <c r="BK9" s="567">
        <v>1247525</v>
      </c>
      <c r="BL9" s="567">
        <v>1290471</v>
      </c>
      <c r="BM9" s="567">
        <v>1396022</v>
      </c>
      <c r="BN9" s="567">
        <v>1420828</v>
      </c>
      <c r="BO9" s="567">
        <v>1468046</v>
      </c>
      <c r="BP9" s="567">
        <v>2930171</v>
      </c>
      <c r="BQ9" s="567">
        <v>1460392.205938</v>
      </c>
      <c r="BR9" s="567">
        <v>1675593</v>
      </c>
      <c r="BS9" s="567">
        <v>1557005.1490983795</v>
      </c>
      <c r="BT9" s="567">
        <f t="shared" si="0"/>
        <v>2343023.0473974794</v>
      </c>
      <c r="BU9" s="568">
        <v>19338219</v>
      </c>
      <c r="BW9" s="540"/>
    </row>
    <row r="10" spans="1:75">
      <c r="A10" s="558"/>
      <c r="B10" s="559" t="s">
        <v>395</v>
      </c>
      <c r="C10" s="560" t="s">
        <v>260</v>
      </c>
      <c r="D10" s="561"/>
      <c r="E10" s="562">
        <v>199421.3106</v>
      </c>
      <c r="F10" s="562">
        <v>106572.00440000001</v>
      </c>
      <c r="G10" s="562">
        <v>102489</v>
      </c>
      <c r="H10" s="562">
        <v>225423.26</v>
      </c>
      <c r="I10" s="562">
        <v>125078.33</v>
      </c>
      <c r="J10" s="562">
        <v>106157.7529588</v>
      </c>
      <c r="K10" s="562">
        <v>137547.96</v>
      </c>
      <c r="L10" s="562">
        <v>128335.98000000001</v>
      </c>
      <c r="M10" s="562">
        <v>92106.26999999999</v>
      </c>
      <c r="N10" s="562">
        <v>197071.88</v>
      </c>
      <c r="O10" s="562">
        <v>68056.902799999996</v>
      </c>
      <c r="P10" s="562">
        <v>60883.772000000004</v>
      </c>
      <c r="Q10" s="563">
        <v>1549144.4227588</v>
      </c>
      <c r="R10" s="561"/>
      <c r="S10" s="562">
        <v>19275.84</v>
      </c>
      <c r="T10" s="562">
        <v>138675.20000000001</v>
      </c>
      <c r="U10" s="562">
        <v>70434.19</v>
      </c>
      <c r="V10" s="562">
        <v>504667.19000000006</v>
      </c>
      <c r="W10" s="562">
        <v>65466.44</v>
      </c>
      <c r="X10" s="562">
        <v>622516.53999999992</v>
      </c>
      <c r="Y10" s="562">
        <v>116864.63</v>
      </c>
      <c r="Z10" s="562">
        <v>100207.91</v>
      </c>
      <c r="AA10" s="562">
        <v>556348.94000000006</v>
      </c>
      <c r="AB10" s="562">
        <v>92659.419999999984</v>
      </c>
      <c r="AC10" s="562">
        <v>123897.11275</v>
      </c>
      <c r="AD10" s="562">
        <v>1213953.5999999999</v>
      </c>
      <c r="AE10" s="563">
        <v>3624967.0127499998</v>
      </c>
      <c r="AF10" s="561"/>
      <c r="AG10" s="562">
        <v>50960</v>
      </c>
      <c r="AH10" s="562">
        <v>2230040.9300000002</v>
      </c>
      <c r="AI10" s="562">
        <v>485986.2</v>
      </c>
      <c r="AJ10" s="562">
        <v>255947.18</v>
      </c>
      <c r="AK10" s="562">
        <v>52900.219999999994</v>
      </c>
      <c r="AL10" s="562">
        <v>39788.479999999996</v>
      </c>
      <c r="AM10" s="562">
        <v>25532.489999999998</v>
      </c>
      <c r="AN10" s="562">
        <v>36081.15</v>
      </c>
      <c r="AO10" s="562">
        <v>45870.83</v>
      </c>
      <c r="AP10" s="562">
        <v>725455.7</v>
      </c>
      <c r="AQ10" s="562">
        <v>21820.080932699999</v>
      </c>
      <c r="AR10" s="562">
        <v>559592.1100000001</v>
      </c>
      <c r="AS10" s="564">
        <f t="shared" si="1"/>
        <v>4529975.370932701</v>
      </c>
      <c r="AT10" s="561"/>
      <c r="AU10" s="565">
        <v>0</v>
      </c>
      <c r="AV10" s="562">
        <v>0</v>
      </c>
      <c r="AW10" s="562">
        <v>0</v>
      </c>
      <c r="AX10" s="562">
        <f>807616.15*0</f>
        <v>0</v>
      </c>
      <c r="AY10" s="562">
        <v>0</v>
      </c>
      <c r="AZ10" s="562">
        <v>0</v>
      </c>
      <c r="BA10" s="562">
        <f>785064.6418-(785064.6418-11941)</f>
        <v>11941</v>
      </c>
      <c r="BB10" s="562">
        <f>72836.67*0</f>
        <v>0</v>
      </c>
      <c r="BC10" s="562">
        <f>162251.91-(162251.91-58880)</f>
        <v>58880</v>
      </c>
      <c r="BD10" s="562">
        <f>1746454.064321-(1746454.064321-47836)</f>
        <v>47836</v>
      </c>
      <c r="BE10" s="562">
        <f>1239576.53-(1239576.53-1026960)</f>
        <v>1026960</v>
      </c>
      <c r="BF10" s="562">
        <f t="shared" si="2"/>
        <v>3562472</v>
      </c>
      <c r="BG10" s="563">
        <v>4708089</v>
      </c>
      <c r="BH10" s="566">
        <v>0</v>
      </c>
      <c r="BI10" s="567">
        <v>999143</v>
      </c>
      <c r="BJ10" s="567">
        <v>296892</v>
      </c>
      <c r="BK10" s="567">
        <v>726998</v>
      </c>
      <c r="BL10" s="567">
        <v>346912</v>
      </c>
      <c r="BM10" s="567">
        <v>402136</v>
      </c>
      <c r="BN10" s="567">
        <v>1655006</v>
      </c>
      <c r="BO10" s="567">
        <v>855143</v>
      </c>
      <c r="BP10" s="567">
        <v>456922</v>
      </c>
      <c r="BQ10" s="567">
        <v>1171647.56</v>
      </c>
      <c r="BR10" s="567">
        <v>749251</v>
      </c>
      <c r="BS10" s="567">
        <v>-503112.47328665963</v>
      </c>
      <c r="BT10" s="567">
        <f t="shared" si="0"/>
        <v>4401085.9132866589</v>
      </c>
      <c r="BU10" s="568">
        <v>11558024</v>
      </c>
      <c r="BW10" s="540"/>
    </row>
    <row r="11" spans="1:75">
      <c r="A11" s="558"/>
      <c r="B11" s="559" t="s">
        <v>396</v>
      </c>
      <c r="C11" s="560" t="s">
        <v>261</v>
      </c>
      <c r="D11" s="561"/>
      <c r="E11" s="562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3"/>
      <c r="R11" s="561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3"/>
      <c r="AF11" s="561"/>
      <c r="AG11" s="562">
        <v>0.74961920000000004</v>
      </c>
      <c r="AH11" s="562">
        <v>1.1603808</v>
      </c>
      <c r="AI11" s="562"/>
      <c r="AJ11" s="562"/>
      <c r="AK11" s="562">
        <v>1.7977344000000004</v>
      </c>
      <c r="AL11" s="562">
        <v>2.0022655999999999</v>
      </c>
      <c r="AM11" s="562"/>
      <c r="AN11" s="562"/>
      <c r="AO11" s="562">
        <v>25.35</v>
      </c>
      <c r="AP11" s="562"/>
      <c r="AQ11" s="562"/>
      <c r="AR11" s="562">
        <v>-6.2172489379008766E-15</v>
      </c>
      <c r="AS11" s="564">
        <f t="shared" si="1"/>
        <v>31.059999999999995</v>
      </c>
      <c r="AT11" s="561"/>
      <c r="AU11" s="565"/>
      <c r="AV11" s="562"/>
      <c r="AW11" s="562">
        <v>0</v>
      </c>
      <c r="AX11" s="562">
        <v>0</v>
      </c>
      <c r="AY11" s="562">
        <v>0</v>
      </c>
      <c r="AZ11" s="562">
        <v>0</v>
      </c>
      <c r="BA11" s="562">
        <v>0</v>
      </c>
      <c r="BB11" s="562">
        <v>0</v>
      </c>
      <c r="BC11" s="562">
        <v>0</v>
      </c>
      <c r="BD11" s="562">
        <v>0</v>
      </c>
      <c r="BE11" s="562">
        <v>0</v>
      </c>
      <c r="BF11" s="562">
        <f t="shared" si="2"/>
        <v>0</v>
      </c>
      <c r="BG11" s="563">
        <v>0</v>
      </c>
      <c r="BH11" s="566">
        <v>0</v>
      </c>
      <c r="BI11" s="567">
        <v>0</v>
      </c>
      <c r="BJ11" s="567">
        <v>0</v>
      </c>
      <c r="BK11" s="567">
        <v>0</v>
      </c>
      <c r="BL11" s="567">
        <v>0</v>
      </c>
      <c r="BM11" s="567">
        <v>0</v>
      </c>
      <c r="BN11" s="567">
        <v>0</v>
      </c>
      <c r="BO11" s="567">
        <v>0</v>
      </c>
      <c r="BP11" s="567">
        <v>367</v>
      </c>
      <c r="BQ11" s="567">
        <v>0</v>
      </c>
      <c r="BR11" s="567">
        <v>0</v>
      </c>
      <c r="BS11" s="567">
        <v>0</v>
      </c>
      <c r="BT11" s="567">
        <f t="shared" si="0"/>
        <v>88</v>
      </c>
      <c r="BU11" s="568">
        <v>455</v>
      </c>
      <c r="BW11" s="540"/>
    </row>
    <row r="12" spans="1:75">
      <c r="A12" s="558"/>
      <c r="B12" s="559" t="s">
        <v>397</v>
      </c>
      <c r="C12" s="560" t="s">
        <v>262</v>
      </c>
      <c r="D12" s="561"/>
      <c r="E12" s="562">
        <v>11753.8508888</v>
      </c>
      <c r="F12" s="562">
        <v>12070.679999999998</v>
      </c>
      <c r="G12" s="562">
        <v>9529.924153599999</v>
      </c>
      <c r="H12" s="562">
        <v>7371.4836205999991</v>
      </c>
      <c r="I12" s="562">
        <v>14770.5152402</v>
      </c>
      <c r="J12" s="562">
        <v>11308.891139200005</v>
      </c>
      <c r="K12" s="562">
        <v>13571.940000000002</v>
      </c>
      <c r="L12" s="562">
        <v>7796.0099999999966</v>
      </c>
      <c r="M12" s="562">
        <v>7332.3325280000008</v>
      </c>
      <c r="N12" s="562">
        <v>11289.087753199996</v>
      </c>
      <c r="O12" s="562">
        <v>16102.549999999997</v>
      </c>
      <c r="P12" s="562">
        <v>13515.330000000009</v>
      </c>
      <c r="Q12" s="563">
        <v>136412.59532360002</v>
      </c>
      <c r="R12" s="561"/>
      <c r="S12" s="562">
        <v>8283.4761641999976</v>
      </c>
      <c r="T12" s="562">
        <v>12514.616899099998</v>
      </c>
      <c r="U12" s="562">
        <v>7746.5312286999979</v>
      </c>
      <c r="V12" s="562">
        <v>10378.619969900004</v>
      </c>
      <c r="W12" s="562">
        <v>16065.250358099996</v>
      </c>
      <c r="X12" s="562">
        <v>7942.8436524999997</v>
      </c>
      <c r="Y12" s="562">
        <v>9979.2074921000094</v>
      </c>
      <c r="Z12" s="562">
        <v>12353.169999999998</v>
      </c>
      <c r="AA12" s="562">
        <v>14227.238107199995</v>
      </c>
      <c r="AB12" s="562">
        <v>12557.052781600003</v>
      </c>
      <c r="AC12" s="562">
        <v>10935.579999999996</v>
      </c>
      <c r="AD12" s="562">
        <v>16539.859138500007</v>
      </c>
      <c r="AE12" s="563">
        <v>139523.44579190004</v>
      </c>
      <c r="AF12" s="561"/>
      <c r="AG12" s="562">
        <v>8552.0391964999963</v>
      </c>
      <c r="AH12" s="562">
        <v>785.66702309999903</v>
      </c>
      <c r="AI12" s="562">
        <v>10811.585859399998</v>
      </c>
      <c r="AJ12" s="562">
        <v>25177.836359199999</v>
      </c>
      <c r="AK12" s="562">
        <v>374.46</v>
      </c>
      <c r="AL12" s="562">
        <v>12303.835114600008</v>
      </c>
      <c r="AM12" s="562">
        <v>11835.943744599996</v>
      </c>
      <c r="AN12" s="562">
        <v>15219.853349600005</v>
      </c>
      <c r="AO12" s="562">
        <v>12014.350788700005</v>
      </c>
      <c r="AP12" s="562">
        <v>13420.345771199993</v>
      </c>
      <c r="AQ12" s="562">
        <v>12590.251709200002</v>
      </c>
      <c r="AR12" s="562">
        <v>40499.450000000063</v>
      </c>
      <c r="AS12" s="564">
        <f t="shared" si="1"/>
        <v>163585.61891610007</v>
      </c>
      <c r="AT12" s="561"/>
      <c r="AU12" s="565">
        <v>84.067371515826792</v>
      </c>
      <c r="AV12" s="562">
        <v>1140.7197453346519</v>
      </c>
      <c r="AW12" s="562">
        <v>1773.27423</v>
      </c>
      <c r="AX12" s="562">
        <v>1657.4145149999999</v>
      </c>
      <c r="AY12" s="562">
        <v>6555.2885599999991</v>
      </c>
      <c r="AZ12" s="562">
        <v>6328.1363999999994</v>
      </c>
      <c r="BA12" s="562">
        <v>2710.549368</v>
      </c>
      <c r="BB12" s="562">
        <v>15750.677953</v>
      </c>
      <c r="BC12" s="562">
        <v>32109.422751999999</v>
      </c>
      <c r="BD12" s="562">
        <v>10205.91260958</v>
      </c>
      <c r="BE12" s="562">
        <v>9866.5528068747808</v>
      </c>
      <c r="BF12" s="562">
        <f t="shared" si="2"/>
        <v>-51770.016311305255</v>
      </c>
      <c r="BG12" s="563">
        <v>36412</v>
      </c>
      <c r="BH12" s="566">
        <v>0</v>
      </c>
      <c r="BI12" s="567">
        <v>962.87</v>
      </c>
      <c r="BJ12" s="567">
        <v>1621</v>
      </c>
      <c r="BK12" s="567">
        <v>24679</v>
      </c>
      <c r="BL12" s="567">
        <v>13376</v>
      </c>
      <c r="BM12" s="567">
        <v>5635</v>
      </c>
      <c r="BN12" s="567">
        <v>17371</v>
      </c>
      <c r="BO12" s="567">
        <v>19207</v>
      </c>
      <c r="BP12" s="567">
        <v>30034</v>
      </c>
      <c r="BQ12" s="567">
        <v>19830.716541999998</v>
      </c>
      <c r="BR12" s="567">
        <v>28267</v>
      </c>
      <c r="BS12" s="567">
        <v>6330.0845618399944</v>
      </c>
      <c r="BT12" s="567">
        <f t="shared" si="0"/>
        <v>21077.328896160005</v>
      </c>
      <c r="BU12" s="568">
        <v>188391</v>
      </c>
      <c r="BW12" s="540"/>
    </row>
    <row r="13" spans="1:75">
      <c r="A13" s="558"/>
      <c r="B13" s="559" t="s">
        <v>398</v>
      </c>
      <c r="C13" s="560" t="s">
        <v>263</v>
      </c>
      <c r="D13" s="561"/>
      <c r="E13" s="562">
        <v>1013914.12</v>
      </c>
      <c r="F13" s="562">
        <v>208.28999999999996</v>
      </c>
      <c r="G13" s="562">
        <v>782.47438479999994</v>
      </c>
      <c r="H13" s="562">
        <v>1536568.2805548003</v>
      </c>
      <c r="I13" s="562">
        <v>220.21506040016322</v>
      </c>
      <c r="J13" s="562">
        <v>195.83000000004694</v>
      </c>
      <c r="K13" s="562">
        <v>1522544.0899999996</v>
      </c>
      <c r="L13" s="562">
        <v>3696.1600000000003</v>
      </c>
      <c r="M13" s="562">
        <v>195.93000000000728</v>
      </c>
      <c r="N13" s="562">
        <v>1132908.5399999998</v>
      </c>
      <c r="O13" s="562">
        <v>214.95000000003401</v>
      </c>
      <c r="P13" s="562">
        <v>1035886.43</v>
      </c>
      <c r="Q13" s="563">
        <v>6247335.3099999996</v>
      </c>
      <c r="R13" s="561">
        <v>151.89123299999997</v>
      </c>
      <c r="S13" s="562">
        <v>891.60876700000017</v>
      </c>
      <c r="T13" s="562">
        <v>193.83296759999996</v>
      </c>
      <c r="U13" s="562">
        <v>1031677.2538845997</v>
      </c>
      <c r="V13" s="562">
        <v>497641.85532269988</v>
      </c>
      <c r="W13" s="562">
        <v>2420161.0897196005</v>
      </c>
      <c r="X13" s="562">
        <v>76910.343445600214</v>
      </c>
      <c r="Y13" s="562">
        <v>27401.406343200822</v>
      </c>
      <c r="Z13" s="562">
        <v>337263.32994099997</v>
      </c>
      <c r="AA13" s="562">
        <v>475129.37970219983</v>
      </c>
      <c r="AB13" s="562">
        <v>47661.666950400046</v>
      </c>
      <c r="AC13" s="562">
        <v>1698930.4700000004</v>
      </c>
      <c r="AD13" s="562">
        <v>561190.48000000021</v>
      </c>
      <c r="AE13" s="563">
        <v>7175204.6082769018</v>
      </c>
      <c r="AF13" s="561">
        <v>1390.3521975000001</v>
      </c>
      <c r="AG13" s="562">
        <v>22520.51780250001</v>
      </c>
      <c r="AH13" s="562">
        <v>572946.50999999989</v>
      </c>
      <c r="AI13" s="562">
        <v>24165.998682499994</v>
      </c>
      <c r="AJ13" s="562">
        <v>179766.03596000012</v>
      </c>
      <c r="AK13" s="562">
        <v>1194800.7603220006</v>
      </c>
      <c r="AL13" s="562">
        <v>26392.753718000004</v>
      </c>
      <c r="AM13" s="562">
        <v>1153604.6887266</v>
      </c>
      <c r="AN13" s="562">
        <v>26915.825229500173</v>
      </c>
      <c r="AO13" s="562">
        <v>915607.38195049972</v>
      </c>
      <c r="AP13" s="562">
        <v>539672.96000000008</v>
      </c>
      <c r="AQ13" s="562">
        <v>546343.68978000002</v>
      </c>
      <c r="AR13" s="562">
        <v>1083449.2100000014</v>
      </c>
      <c r="AS13" s="564">
        <f t="shared" si="1"/>
        <v>6287576.6843691021</v>
      </c>
      <c r="AT13" s="561">
        <v>6</v>
      </c>
      <c r="AU13" s="565">
        <v>463964.21973016782</v>
      </c>
      <c r="AV13" s="562">
        <v>505051.60467368743</v>
      </c>
      <c r="AW13" s="562">
        <v>62200.955669999996</v>
      </c>
      <c r="AX13" s="562">
        <v>322911.09611000004</v>
      </c>
      <c r="AY13" s="562">
        <v>41082.824160000004</v>
      </c>
      <c r="AZ13" s="562">
        <v>67269.421120000014</v>
      </c>
      <c r="BA13" s="562">
        <v>754391.87207399996</v>
      </c>
      <c r="BB13" s="562">
        <v>47766.637242000012</v>
      </c>
      <c r="BC13" s="562">
        <v>588606.77708800009</v>
      </c>
      <c r="BD13" s="562">
        <v>522365.80483710999</v>
      </c>
      <c r="BE13" s="562">
        <v>950482.43393590406</v>
      </c>
      <c r="BF13" s="562">
        <f t="shared" si="2"/>
        <v>86706.353359130211</v>
      </c>
      <c r="BG13" s="563">
        <v>4412806</v>
      </c>
      <c r="BH13" s="566">
        <v>0</v>
      </c>
      <c r="BI13" s="567">
        <v>0</v>
      </c>
      <c r="BJ13" s="567">
        <v>0</v>
      </c>
      <c r="BK13" s="567">
        <v>501809</v>
      </c>
      <c r="BL13" s="567">
        <v>17689</v>
      </c>
      <c r="BM13" s="567">
        <v>1112197</v>
      </c>
      <c r="BN13" s="567">
        <v>18254</v>
      </c>
      <c r="BO13" s="567">
        <v>652360</v>
      </c>
      <c r="BP13" s="567">
        <v>1231098</v>
      </c>
      <c r="BQ13" s="567">
        <v>79122.922318000012</v>
      </c>
      <c r="BR13" s="567">
        <v>1973826</v>
      </c>
      <c r="BS13" s="567">
        <v>74172.210214959981</v>
      </c>
      <c r="BT13" s="567">
        <f t="shared" si="0"/>
        <v>1497400.8674670393</v>
      </c>
      <c r="BU13" s="568">
        <v>7157929</v>
      </c>
      <c r="BW13" s="540"/>
    </row>
    <row r="14" spans="1:75">
      <c r="A14" s="558"/>
      <c r="B14" s="559" t="s">
        <v>399</v>
      </c>
      <c r="C14" s="560" t="s">
        <v>264</v>
      </c>
      <c r="D14" s="561">
        <v>177370.97180960001</v>
      </c>
      <c r="E14" s="562">
        <v>3094239.4378432003</v>
      </c>
      <c r="F14" s="562">
        <v>3290448.6623864034</v>
      </c>
      <c r="G14" s="562">
        <v>3480186.9521288038</v>
      </c>
      <c r="H14" s="562">
        <v>3789093.8434720002</v>
      </c>
      <c r="I14" s="562">
        <v>3361256.1316948021</v>
      </c>
      <c r="J14" s="562">
        <v>3235429.8224152015</v>
      </c>
      <c r="K14" s="562">
        <v>3514566.7581364</v>
      </c>
      <c r="L14" s="562">
        <v>3467330.721485998</v>
      </c>
      <c r="M14" s="562">
        <v>3584946.0866207997</v>
      </c>
      <c r="N14" s="562">
        <v>3719154.3990155989</v>
      </c>
      <c r="O14" s="562">
        <v>3335315.6849536006</v>
      </c>
      <c r="P14" s="562">
        <v>4096218.9417163967</v>
      </c>
      <c r="Q14" s="563">
        <v>42145558.413678803</v>
      </c>
      <c r="R14" s="561">
        <v>184231.00770829993</v>
      </c>
      <c r="S14" s="562">
        <v>3175376.3815454994</v>
      </c>
      <c r="T14" s="562">
        <v>3089405.9265585029</v>
      </c>
      <c r="U14" s="562">
        <v>3514536.0260297065</v>
      </c>
      <c r="V14" s="562">
        <v>3353536.9599740095</v>
      </c>
      <c r="W14" s="562">
        <v>3164040.2600600026</v>
      </c>
      <c r="X14" s="562">
        <v>3565948.0459108087</v>
      </c>
      <c r="Y14" s="562">
        <v>4009032.880527697</v>
      </c>
      <c r="Z14" s="562">
        <v>3718353.3019843018</v>
      </c>
      <c r="AA14" s="562">
        <v>4018450.4541453929</v>
      </c>
      <c r="AB14" s="562">
        <v>3815935.0822240999</v>
      </c>
      <c r="AC14" s="562">
        <v>3235127.1040546005</v>
      </c>
      <c r="AD14" s="562">
        <v>5243052.331999789</v>
      </c>
      <c r="AE14" s="563">
        <v>44087025.762722708</v>
      </c>
      <c r="AF14" s="561">
        <v>109784.59109639999</v>
      </c>
      <c r="AG14" s="562">
        <v>3127601.3122524945</v>
      </c>
      <c r="AH14" s="562">
        <v>3186270.0949257938</v>
      </c>
      <c r="AI14" s="562">
        <v>3758612.6310562994</v>
      </c>
      <c r="AJ14" s="562">
        <v>3981705.4971280019</v>
      </c>
      <c r="AK14" s="562">
        <v>3778403.5848977938</v>
      </c>
      <c r="AL14" s="562">
        <v>3995920.1342100981</v>
      </c>
      <c r="AM14" s="562">
        <v>3864788.4798807967</v>
      </c>
      <c r="AN14" s="562">
        <v>4126367.1714865007</v>
      </c>
      <c r="AO14" s="562">
        <v>4395934.3271250976</v>
      </c>
      <c r="AP14" s="562">
        <v>4107400.7447053972</v>
      </c>
      <c r="AQ14" s="562">
        <v>3683211.7698836005</v>
      </c>
      <c r="AR14" s="562">
        <v>5573476.310000021</v>
      </c>
      <c r="AS14" s="564">
        <f t="shared" si="1"/>
        <v>47689476.648648292</v>
      </c>
      <c r="AT14" s="561">
        <v>113973.41999999998</v>
      </c>
      <c r="AU14" s="565">
        <v>3031812.8358922359</v>
      </c>
      <c r="AV14" s="562">
        <v>3655032.8326228294</v>
      </c>
      <c r="AW14" s="562">
        <v>4056475.3469900056</v>
      </c>
      <c r="AX14" s="562">
        <v>4120539.1809950001</v>
      </c>
      <c r="AY14" s="562">
        <v>3971253.5502400012</v>
      </c>
      <c r="AZ14" s="562">
        <v>3892160.8612799998</v>
      </c>
      <c r="BA14" s="562">
        <v>4081327.3613659982</v>
      </c>
      <c r="BB14" s="562">
        <v>3766068.5506460001</v>
      </c>
      <c r="BC14" s="562">
        <v>4474853.1339199999</v>
      </c>
      <c r="BD14" s="562">
        <v>4592845.873243168</v>
      </c>
      <c r="BE14" s="562">
        <v>3585031.6386217223</v>
      </c>
      <c r="BF14" s="562">
        <f t="shared" si="2"/>
        <v>-238192.58581696451</v>
      </c>
      <c r="BG14" s="563">
        <v>43103182</v>
      </c>
      <c r="BH14" s="566">
        <v>167700.57594710001</v>
      </c>
      <c r="BI14" s="567">
        <v>3711507.0300000012</v>
      </c>
      <c r="BJ14" s="567">
        <v>3993235</v>
      </c>
      <c r="BK14" s="567">
        <v>3377515</v>
      </c>
      <c r="BL14" s="567">
        <v>4157477</v>
      </c>
      <c r="BM14" s="567">
        <v>4342554</v>
      </c>
      <c r="BN14" s="567">
        <v>4837129</v>
      </c>
      <c r="BO14" s="567">
        <v>4371639</v>
      </c>
      <c r="BP14" s="567">
        <v>5356069</v>
      </c>
      <c r="BQ14" s="567">
        <v>4598757.0550859999</v>
      </c>
      <c r="BR14" s="567">
        <v>5196676</v>
      </c>
      <c r="BS14" s="567">
        <v>4688612.0910538109</v>
      </c>
      <c r="BT14" s="567">
        <f t="shared" si="0"/>
        <v>5202742.2479130849</v>
      </c>
      <c r="BU14" s="568">
        <v>54001613</v>
      </c>
      <c r="BW14" s="540"/>
    </row>
    <row r="15" spans="1:75" s="573" customFormat="1">
      <c r="A15" s="569"/>
      <c r="B15" s="551" t="s">
        <v>400</v>
      </c>
      <c r="C15" s="570" t="s">
        <v>265</v>
      </c>
      <c r="D15" s="571">
        <v>2295.6761999999999</v>
      </c>
      <c r="E15" s="565">
        <v>17198.833999999999</v>
      </c>
      <c r="F15" s="565">
        <v>5362.7293575999993</v>
      </c>
      <c r="G15" s="565">
        <v>4970.3304183999999</v>
      </c>
      <c r="H15" s="565">
        <v>9460.8172998000009</v>
      </c>
      <c r="I15" s="565">
        <v>2390.4621002000004</v>
      </c>
      <c r="J15" s="565">
        <v>14896.917447199998</v>
      </c>
      <c r="K15" s="565">
        <v>7493.3803999999991</v>
      </c>
      <c r="L15" s="565">
        <v>3430.5280000000002</v>
      </c>
      <c r="M15" s="565">
        <v>2550.6860000000001</v>
      </c>
      <c r="N15" s="565">
        <v>6101.52</v>
      </c>
      <c r="O15" s="565">
        <v>5971.5121999999992</v>
      </c>
      <c r="P15" s="565">
        <v>12845.883399999997</v>
      </c>
      <c r="Q15" s="563">
        <v>94969.276823199994</v>
      </c>
      <c r="R15" s="571">
        <v>3267.3874999999998</v>
      </c>
      <c r="S15" s="565">
        <v>3833.4863999999998</v>
      </c>
      <c r="T15" s="565">
        <v>3517.4634283999999</v>
      </c>
      <c r="U15" s="565">
        <v>2822.1449216000001</v>
      </c>
      <c r="V15" s="565">
        <v>2876.7629999999999</v>
      </c>
      <c r="W15" s="565">
        <v>4465.4072844000002</v>
      </c>
      <c r="X15" s="565">
        <v>19034.410308200004</v>
      </c>
      <c r="Y15" s="565">
        <v>2512.8048371999994</v>
      </c>
      <c r="Z15" s="565">
        <v>5605.9500000000007</v>
      </c>
      <c r="AA15" s="565">
        <v>5559.4423236000002</v>
      </c>
      <c r="AB15" s="565">
        <v>11790.162476399999</v>
      </c>
      <c r="AC15" s="565">
        <v>36766.1495</v>
      </c>
      <c r="AD15" s="565">
        <v>34284.907800000001</v>
      </c>
      <c r="AE15" s="563">
        <v>136336.47977979999</v>
      </c>
      <c r="AF15" s="571">
        <v>3502.18</v>
      </c>
      <c r="AG15" s="565">
        <v>12882.9026992</v>
      </c>
      <c r="AH15" s="565">
        <v>9973.748058799998</v>
      </c>
      <c r="AI15" s="565">
        <v>6543.6349999999993</v>
      </c>
      <c r="AJ15" s="565">
        <v>16085.412671999999</v>
      </c>
      <c r="AK15" s="565">
        <v>6558.4720499999994</v>
      </c>
      <c r="AL15" s="565">
        <v>5761.28</v>
      </c>
      <c r="AM15" s="565">
        <v>5784.4486271999995</v>
      </c>
      <c r="AN15" s="565">
        <v>10899.163313800002</v>
      </c>
      <c r="AO15" s="565">
        <v>5930.4809999999998</v>
      </c>
      <c r="AP15" s="565">
        <v>5157.365154000001</v>
      </c>
      <c r="AQ15" s="565">
        <v>7170.9238231999998</v>
      </c>
      <c r="AR15" s="562">
        <v>4979.8500000000513</v>
      </c>
      <c r="AS15" s="564">
        <f t="shared" si="1"/>
        <v>101229.86239820006</v>
      </c>
      <c r="AT15" s="571"/>
      <c r="AU15" s="565">
        <v>80961.510323223702</v>
      </c>
      <c r="AV15" s="565">
        <v>1461.3049610577991</v>
      </c>
      <c r="AW15" s="565">
        <v>39528.34779</v>
      </c>
      <c r="AX15" s="565">
        <v>96516.450734999991</v>
      </c>
      <c r="AY15" s="565">
        <v>15006.816480000001</v>
      </c>
      <c r="AZ15" s="562">
        <v>100184.80928</v>
      </c>
      <c r="BA15" s="562">
        <v>131236.51806599999</v>
      </c>
      <c r="BB15" s="562">
        <v>3231.3063000000002</v>
      </c>
      <c r="BC15" s="562">
        <v>128307.93465600001</v>
      </c>
      <c r="BD15" s="562">
        <v>2045</v>
      </c>
      <c r="BE15" s="562">
        <v>95876.403805135851</v>
      </c>
      <c r="BF15" s="562">
        <f t="shared" si="2"/>
        <v>508650.69853785983</v>
      </c>
      <c r="BG15" s="563">
        <v>1203007.1009342773</v>
      </c>
      <c r="BH15" s="566">
        <v>0</v>
      </c>
      <c r="BI15" s="572">
        <v>73.900000000000006</v>
      </c>
      <c r="BJ15" s="567">
        <v>0</v>
      </c>
      <c r="BK15" s="567">
        <v>7467</v>
      </c>
      <c r="BL15" s="567">
        <v>53</v>
      </c>
      <c r="BM15" s="567">
        <v>9628</v>
      </c>
      <c r="BN15" s="567">
        <v>6304</v>
      </c>
      <c r="BO15" s="567">
        <v>5526</v>
      </c>
      <c r="BP15" s="567">
        <v>29483</v>
      </c>
      <c r="BQ15" s="567">
        <v>0</v>
      </c>
      <c r="BR15" s="567">
        <v>6658</v>
      </c>
      <c r="BS15" s="567">
        <v>9030</v>
      </c>
      <c r="BT15" s="567">
        <f t="shared" si="0"/>
        <v>5180.1000000000058</v>
      </c>
      <c r="BU15" s="568">
        <v>79403</v>
      </c>
      <c r="BV15" s="539"/>
      <c r="BW15" s="540"/>
    </row>
    <row r="16" spans="1:75" s="573" customFormat="1" ht="16.5" customHeight="1">
      <c r="A16" s="569"/>
      <c r="B16" s="551" t="s">
        <v>401</v>
      </c>
      <c r="C16" s="570" t="s">
        <v>402</v>
      </c>
      <c r="D16" s="571">
        <v>25.57038</v>
      </c>
      <c r="E16" s="565">
        <v>14.76</v>
      </c>
      <c r="F16" s="565">
        <v>21.06</v>
      </c>
      <c r="G16" s="565">
        <v>746.69965260000004</v>
      </c>
      <c r="H16" s="565">
        <v>756.10127260000002</v>
      </c>
      <c r="I16" s="565">
        <v>732.47869480000031</v>
      </c>
      <c r="J16" s="565">
        <v>1738.5700000000008</v>
      </c>
      <c r="K16" s="565">
        <v>746.68000000000006</v>
      </c>
      <c r="L16" s="565">
        <v>746.68000000000006</v>
      </c>
      <c r="M16" s="565">
        <v>1061.68</v>
      </c>
      <c r="N16" s="565">
        <v>746.68000000000006</v>
      </c>
      <c r="O16" s="565">
        <v>1034.5599999999995</v>
      </c>
      <c r="P16" s="565">
        <v>2053.9799999999996</v>
      </c>
      <c r="Q16" s="563">
        <v>10425.5</v>
      </c>
      <c r="R16" s="571"/>
      <c r="S16" s="565">
        <v>22.06</v>
      </c>
      <c r="T16" s="565"/>
      <c r="U16" s="565">
        <v>22.900800000000004</v>
      </c>
      <c r="V16" s="565">
        <v>164.18970000000002</v>
      </c>
      <c r="W16" s="565">
        <v>4666.8183887999994</v>
      </c>
      <c r="X16" s="565">
        <v>1164.8919792000002</v>
      </c>
      <c r="Y16" s="565">
        <v>1172.8484319999993</v>
      </c>
      <c r="Z16" s="565">
        <v>22.064040000000006</v>
      </c>
      <c r="AA16" s="565">
        <v>3540.7231935999998</v>
      </c>
      <c r="AB16" s="565">
        <v>-2.7233600000272418E-2</v>
      </c>
      <c r="AC16" s="565">
        <v>1194.1199999999999</v>
      </c>
      <c r="AD16" s="565">
        <v>2752.3899999999994</v>
      </c>
      <c r="AE16" s="563">
        <v>14722.979299999999</v>
      </c>
      <c r="AF16" s="571"/>
      <c r="AG16" s="565">
        <v>42.328160000000004</v>
      </c>
      <c r="AH16" s="565">
        <v>1673.67184</v>
      </c>
      <c r="AI16" s="565">
        <v>414.75</v>
      </c>
      <c r="AJ16" s="565">
        <v>2089.9185984000005</v>
      </c>
      <c r="AK16" s="565">
        <v>169.80796160000006</v>
      </c>
      <c r="AL16" s="565">
        <v>2247.2895167999995</v>
      </c>
      <c r="AM16" s="565">
        <v>1512.98</v>
      </c>
      <c r="AN16" s="565">
        <v>836.56392320000009</v>
      </c>
      <c r="AO16" s="565">
        <v>829.77607680000006</v>
      </c>
      <c r="AP16" s="565">
        <v>21.993923199999983</v>
      </c>
      <c r="AQ16" s="565">
        <v>2249.1076768000003</v>
      </c>
      <c r="AR16" s="562">
        <v>2029.8900000000003</v>
      </c>
      <c r="AS16" s="564">
        <f t="shared" si="1"/>
        <v>14118.0776768</v>
      </c>
      <c r="AT16" s="571"/>
      <c r="AU16" s="565">
        <v>0</v>
      </c>
      <c r="AV16" s="565">
        <v>22934.631251029346</v>
      </c>
      <c r="AW16" s="565">
        <v>0</v>
      </c>
      <c r="AX16" s="565">
        <v>0</v>
      </c>
      <c r="AY16" s="565">
        <v>39131.485440000004</v>
      </c>
      <c r="AZ16" s="562">
        <v>37364.16704</v>
      </c>
      <c r="BA16" s="562">
        <v>19642.687635999999</v>
      </c>
      <c r="BB16" s="562">
        <v>498.97500000000002</v>
      </c>
      <c r="BC16" s="562">
        <v>18706.770784</v>
      </c>
      <c r="BD16" s="562">
        <v>0</v>
      </c>
      <c r="BE16" s="562">
        <v>0</v>
      </c>
      <c r="BF16" s="562">
        <f t="shared" si="2"/>
        <v>49908.282848970644</v>
      </c>
      <c r="BG16" s="563">
        <v>188187</v>
      </c>
      <c r="BH16" s="566">
        <v>0</v>
      </c>
      <c r="BI16" s="572">
        <v>0</v>
      </c>
      <c r="BJ16" s="567">
        <v>0</v>
      </c>
      <c r="BK16" s="567">
        <v>23138</v>
      </c>
      <c r="BL16" s="567">
        <v>22855</v>
      </c>
      <c r="BM16" s="567">
        <v>381</v>
      </c>
      <c r="BN16" s="567">
        <v>57782</v>
      </c>
      <c r="BO16" s="567">
        <v>23106</v>
      </c>
      <c r="BP16" s="567">
        <v>32717</v>
      </c>
      <c r="BQ16" s="567">
        <v>22619.275271999999</v>
      </c>
      <c r="BR16" s="567">
        <v>27276</v>
      </c>
      <c r="BS16" s="567">
        <v>35297.064300680016</v>
      </c>
      <c r="BT16" s="567">
        <f t="shared" si="0"/>
        <v>35067.660427319992</v>
      </c>
      <c r="BU16" s="568">
        <v>280239</v>
      </c>
      <c r="BV16" s="539"/>
      <c r="BW16" s="540"/>
    </row>
    <row r="17" spans="1:75" s="573" customFormat="1">
      <c r="A17" s="569"/>
      <c r="B17" s="551" t="s">
        <v>403</v>
      </c>
      <c r="C17" s="570" t="s">
        <v>266</v>
      </c>
      <c r="D17" s="571">
        <v>1383409.9356338002</v>
      </c>
      <c r="E17" s="565">
        <v>7423519.0597856045</v>
      </c>
      <c r="F17" s="565">
        <v>6003559.924959003</v>
      </c>
      <c r="G17" s="565">
        <v>6629086.5973490011</v>
      </c>
      <c r="H17" s="565">
        <v>7491723.1482722024</v>
      </c>
      <c r="I17" s="565">
        <v>6476699.2497484051</v>
      </c>
      <c r="J17" s="565">
        <v>6747626.6966891987</v>
      </c>
      <c r="K17" s="565">
        <v>3093875.5074309995</v>
      </c>
      <c r="L17" s="565">
        <v>13135130.304938404</v>
      </c>
      <c r="M17" s="565">
        <v>8324102.1470552003</v>
      </c>
      <c r="N17" s="565">
        <v>1833884.7797017985</v>
      </c>
      <c r="O17" s="565">
        <v>6574226.3333677994</v>
      </c>
      <c r="P17" s="565">
        <v>16160120.012337184</v>
      </c>
      <c r="Q17" s="563">
        <v>91276963.69726859</v>
      </c>
      <c r="R17" s="571">
        <v>2702977.0792679004</v>
      </c>
      <c r="S17" s="565">
        <v>1526429.5717022999</v>
      </c>
      <c r="T17" s="565">
        <v>8025762.7442417024</v>
      </c>
      <c r="U17" s="565">
        <v>1806018.2606281959</v>
      </c>
      <c r="V17" s="565">
        <v>11581659.939413995</v>
      </c>
      <c r="W17" s="565">
        <v>1777085.3929935999</v>
      </c>
      <c r="X17" s="565">
        <v>15408725.187873898</v>
      </c>
      <c r="Y17" s="565">
        <v>13155871.055176772</v>
      </c>
      <c r="Z17" s="565">
        <v>7548350.6794657987</v>
      </c>
      <c r="AA17" s="565">
        <v>7794794.2797056995</v>
      </c>
      <c r="AB17" s="565">
        <v>2408169.9237888986</v>
      </c>
      <c r="AC17" s="565">
        <v>13903398.535912199</v>
      </c>
      <c r="AD17" s="565">
        <v>9439880.4786370229</v>
      </c>
      <c r="AE17" s="563">
        <v>97079123.128807992</v>
      </c>
      <c r="AF17" s="571">
        <v>2761811.9085192</v>
      </c>
      <c r="AG17" s="565">
        <v>1829698.0358042982</v>
      </c>
      <c r="AH17" s="565">
        <v>7783735.2493839003</v>
      </c>
      <c r="AI17" s="565">
        <v>13045471.047511196</v>
      </c>
      <c r="AJ17" s="565">
        <v>2054971.1942238964</v>
      </c>
      <c r="AK17" s="565">
        <v>8424631.8438648023</v>
      </c>
      <c r="AL17" s="565">
        <v>8125028.8135898029</v>
      </c>
      <c r="AM17" s="565">
        <v>8815485.5739686992</v>
      </c>
      <c r="AN17" s="565">
        <v>9630675.1343586035</v>
      </c>
      <c r="AO17" s="565">
        <v>8811406.0193939973</v>
      </c>
      <c r="AP17" s="565">
        <v>9783434.5039761011</v>
      </c>
      <c r="AQ17" s="565">
        <v>9210702.0016006026</v>
      </c>
      <c r="AR17" s="562">
        <v>25046072.289999966</v>
      </c>
      <c r="AS17" s="564">
        <f t="shared" si="1"/>
        <v>115323123.61619507</v>
      </c>
      <c r="AT17" s="571">
        <v>3134242.17</v>
      </c>
      <c r="AU17" s="565">
        <v>1899577.6854749904</v>
      </c>
      <c r="AV17" s="565">
        <v>2051987.9562337375</v>
      </c>
      <c r="AW17" s="565">
        <v>1898952.9226899906</v>
      </c>
      <c r="AX17" s="565">
        <v>3431769.2804852054</v>
      </c>
      <c r="AY17" s="565">
        <v>2178937.3017600002</v>
      </c>
      <c r="AZ17" s="562">
        <v>2079403</v>
      </c>
      <c r="BA17" s="562">
        <v>2068515.5076480003</v>
      </c>
      <c r="BB17" s="562">
        <v>2092889.6688489993</v>
      </c>
      <c r="BC17" s="562">
        <v>2321954.9247040004</v>
      </c>
      <c r="BD17" s="562">
        <v>2366998.6339917793</v>
      </c>
      <c r="BE17" s="562">
        <v>60366436.142855927</v>
      </c>
      <c r="BF17" s="562">
        <f t="shared" si="2"/>
        <v>23219633.805307373</v>
      </c>
      <c r="BG17" s="563">
        <v>109111299</v>
      </c>
      <c r="BH17" s="566">
        <v>3026114.1423633411</v>
      </c>
      <c r="BI17" s="572">
        <v>2390951.8322315603</v>
      </c>
      <c r="BJ17" s="567">
        <v>3266618</v>
      </c>
      <c r="BK17" s="567">
        <v>2004029</v>
      </c>
      <c r="BL17" s="567">
        <v>3341250</v>
      </c>
      <c r="BM17" s="567">
        <v>2468621</v>
      </c>
      <c r="BN17" s="567">
        <v>2170802</v>
      </c>
      <c r="BO17" s="567">
        <f>2443307-103437</f>
        <v>2339870</v>
      </c>
      <c r="BP17" s="567">
        <f>51185479-925</f>
        <v>51184554</v>
      </c>
      <c r="BQ17" s="567">
        <f>2413020.549958-81</f>
        <v>2412939.549958</v>
      </c>
      <c r="BR17" s="567">
        <f>17414612+20989</f>
        <v>17435601</v>
      </c>
      <c r="BS17" s="567">
        <f>19401796.4301785+119</f>
        <v>19401915.430178501</v>
      </c>
      <c r="BT17" s="567">
        <f t="shared" si="0"/>
        <v>-21267118.954731405</v>
      </c>
      <c r="BU17" s="568">
        <v>90176147</v>
      </c>
      <c r="BV17" s="539"/>
      <c r="BW17" s="540"/>
    </row>
    <row r="18" spans="1:75">
      <c r="A18" s="558"/>
      <c r="B18" s="559" t="s">
        <v>404</v>
      </c>
      <c r="C18" s="560" t="s">
        <v>267</v>
      </c>
      <c r="D18" s="561">
        <v>19.260000000000002</v>
      </c>
      <c r="E18" s="562">
        <v>80849.390000000014</v>
      </c>
      <c r="F18" s="562">
        <v>160892.53000000003</v>
      </c>
      <c r="G18" s="562">
        <v>106742.38999999966</v>
      </c>
      <c r="H18" s="562">
        <v>176686.36000000066</v>
      </c>
      <c r="I18" s="562">
        <v>100597.31999999976</v>
      </c>
      <c r="J18" s="562">
        <v>85422.349999999948</v>
      </c>
      <c r="K18" s="562">
        <v>146407.79999999993</v>
      </c>
      <c r="L18" s="562">
        <v>90963.549999999756</v>
      </c>
      <c r="M18" s="562">
        <v>108809.78999999973</v>
      </c>
      <c r="N18" s="562">
        <v>169972.97000000041</v>
      </c>
      <c r="O18" s="562">
        <v>145897.83999999973</v>
      </c>
      <c r="P18" s="562">
        <v>116615.37999999974</v>
      </c>
      <c r="Q18" s="563">
        <v>1489876.9299999995</v>
      </c>
      <c r="R18" s="561">
        <v>15805.060000000021</v>
      </c>
      <c r="S18" s="562">
        <v>114942.01999999963</v>
      </c>
      <c r="T18" s="562">
        <v>92745.839999999749</v>
      </c>
      <c r="U18" s="562">
        <v>148506.4199999999</v>
      </c>
      <c r="V18" s="562">
        <v>227298.46000000223</v>
      </c>
      <c r="W18" s="562">
        <v>90554.499999999854</v>
      </c>
      <c r="X18" s="562">
        <v>105699.48999999977</v>
      </c>
      <c r="Y18" s="562">
        <v>183834.53000000093</v>
      </c>
      <c r="Z18" s="562">
        <v>123580.72999999954</v>
      </c>
      <c r="AA18" s="562">
        <v>187524.78000000122</v>
      </c>
      <c r="AB18" s="562">
        <v>179331.290000001</v>
      </c>
      <c r="AC18" s="562">
        <v>176317.81000000067</v>
      </c>
      <c r="AD18" s="562">
        <v>185639.73999999964</v>
      </c>
      <c r="AE18" s="563">
        <v>1831780.6700000041</v>
      </c>
      <c r="AF18" s="561">
        <v>1664.24</v>
      </c>
      <c r="AG18" s="562">
        <v>148055.54999999996</v>
      </c>
      <c r="AH18" s="562">
        <v>133764.55999999947</v>
      </c>
      <c r="AI18" s="562">
        <v>152102.13000000003</v>
      </c>
      <c r="AJ18" s="562">
        <v>172770.7900000005</v>
      </c>
      <c r="AK18" s="562">
        <v>127699.19999999879</v>
      </c>
      <c r="AL18" s="562">
        <v>164874.7899999989</v>
      </c>
      <c r="AM18" s="562">
        <v>98094.089999999735</v>
      </c>
      <c r="AN18" s="562">
        <v>178711.98999999985</v>
      </c>
      <c r="AO18" s="562">
        <v>181608.28999999946</v>
      </c>
      <c r="AP18" s="562">
        <v>243626.96000000136</v>
      </c>
      <c r="AQ18" s="562">
        <v>259592.07000000143</v>
      </c>
      <c r="AR18" s="562">
        <v>158182.01999999987</v>
      </c>
      <c r="AS18" s="564">
        <f t="shared" si="1"/>
        <v>2020746.6799999992</v>
      </c>
      <c r="AT18" s="561">
        <v>10271.849999999999</v>
      </c>
      <c r="AU18" s="565">
        <v>109205.86000000002</v>
      </c>
      <c r="AV18" s="562">
        <v>189960.97000000018</v>
      </c>
      <c r="AW18" s="562">
        <v>308233.47000000003</v>
      </c>
      <c r="AX18" s="562">
        <f>145821.86+807616</f>
        <v>953437.86</v>
      </c>
      <c r="AY18" s="562">
        <v>171551.65999999997</v>
      </c>
      <c r="AZ18" s="562">
        <v>109262.59999999999</v>
      </c>
      <c r="BA18" s="562">
        <f>185964.06+(959088-185964.06)</f>
        <v>959088</v>
      </c>
      <c r="BB18" s="562">
        <f>131194.04+(204031-131194.04)</f>
        <v>204031</v>
      </c>
      <c r="BC18" s="562">
        <f>170133.91+(273506-170133.91)</f>
        <v>273506</v>
      </c>
      <c r="BD18" s="562">
        <f>153775.13+(1852393-153775.13)</f>
        <v>1852393</v>
      </c>
      <c r="BE18" s="562">
        <f>256736.59+(469354-256736.59)-0.5</f>
        <v>469353.5</v>
      </c>
      <c r="BF18" s="562">
        <f t="shared" si="2"/>
        <v>-779889.77000000048</v>
      </c>
      <c r="BG18" s="563">
        <v>4830406</v>
      </c>
      <c r="BH18" s="566">
        <v>9291.84</v>
      </c>
      <c r="BI18" s="567">
        <v>0</v>
      </c>
      <c r="BJ18" s="567">
        <v>0</v>
      </c>
      <c r="BK18" s="567">
        <v>231359</v>
      </c>
      <c r="BL18" s="567">
        <v>245477</v>
      </c>
      <c r="BM18" s="567">
        <v>153314</v>
      </c>
      <c r="BN18" s="567">
        <v>286019</v>
      </c>
      <c r="BO18" s="567">
        <v>165330</v>
      </c>
      <c r="BP18" s="567">
        <v>249324</v>
      </c>
      <c r="BQ18" s="567">
        <v>226699.89999999997</v>
      </c>
      <c r="BR18" s="567">
        <v>1257630</v>
      </c>
      <c r="BS18" s="567">
        <v>179362.47000000009</v>
      </c>
      <c r="BT18" s="567">
        <f t="shared" si="0"/>
        <v>378909.79000000004</v>
      </c>
      <c r="BU18" s="568">
        <v>3382717</v>
      </c>
      <c r="BW18" s="540"/>
    </row>
    <row r="19" spans="1:75">
      <c r="A19" s="558"/>
      <c r="B19" s="559" t="s">
        <v>405</v>
      </c>
      <c r="C19" s="560" t="s">
        <v>406</v>
      </c>
      <c r="D19" s="561">
        <v>533.61</v>
      </c>
      <c r="E19" s="562">
        <v>10174.6</v>
      </c>
      <c r="F19" s="562">
        <v>8985.9899999999943</v>
      </c>
      <c r="G19" s="562">
        <v>11304.649999999992</v>
      </c>
      <c r="H19" s="562">
        <v>10153.560000000001</v>
      </c>
      <c r="I19" s="562">
        <v>9917.0299999999879</v>
      </c>
      <c r="J19" s="562">
        <v>9668.6099999999878</v>
      </c>
      <c r="K19" s="562">
        <v>11386.720000000003</v>
      </c>
      <c r="L19" s="562">
        <v>11038.659999999996</v>
      </c>
      <c r="M19" s="562">
        <v>11965.439999999993</v>
      </c>
      <c r="N19" s="562">
        <v>15383.47</v>
      </c>
      <c r="O19" s="562">
        <v>14467.649999999985</v>
      </c>
      <c r="P19" s="562">
        <v>17009.790000000005</v>
      </c>
      <c r="Q19" s="563">
        <v>141989.77999999994</v>
      </c>
      <c r="R19" s="561">
        <v>507.46</v>
      </c>
      <c r="S19" s="562">
        <v>10040.36</v>
      </c>
      <c r="T19" s="562">
        <v>9437.0299999999952</v>
      </c>
      <c r="U19" s="562">
        <v>12181.289999999997</v>
      </c>
      <c r="V19" s="562">
        <v>11453.730000000007</v>
      </c>
      <c r="W19" s="562">
        <v>10694.429999999995</v>
      </c>
      <c r="X19" s="562">
        <v>12049.739999999998</v>
      </c>
      <c r="Y19" s="562">
        <v>14300.109999999999</v>
      </c>
      <c r="Z19" s="562">
        <v>12872.71999999999</v>
      </c>
      <c r="AA19" s="562">
        <v>15383.34</v>
      </c>
      <c r="AB19" s="562">
        <v>16029.66</v>
      </c>
      <c r="AC19" s="562">
        <v>13271.929999999993</v>
      </c>
      <c r="AD19" s="562">
        <v>28765.550000000021</v>
      </c>
      <c r="AE19" s="563">
        <v>166987.34999999998</v>
      </c>
      <c r="AF19" s="561">
        <v>171.26999999999998</v>
      </c>
      <c r="AG19" s="562">
        <v>9761.8200000000015</v>
      </c>
      <c r="AH19" s="562">
        <v>11838.329999999994</v>
      </c>
      <c r="AI19" s="562">
        <v>12737.339999999982</v>
      </c>
      <c r="AJ19" s="562">
        <v>16052.319999999985</v>
      </c>
      <c r="AK19" s="562">
        <v>12519.499999999995</v>
      </c>
      <c r="AL19" s="562">
        <v>15458.420000000011</v>
      </c>
      <c r="AM19" s="562">
        <v>17649.700000000019</v>
      </c>
      <c r="AN19" s="562">
        <v>19860.999999999982</v>
      </c>
      <c r="AO19" s="562">
        <v>17980.369999999981</v>
      </c>
      <c r="AP19" s="562">
        <v>18674.439999999999</v>
      </c>
      <c r="AQ19" s="562">
        <v>18113.479999999992</v>
      </c>
      <c r="AR19" s="562">
        <v>30121.230000000054</v>
      </c>
      <c r="AS19" s="564">
        <f t="shared" si="1"/>
        <v>200939.21999999997</v>
      </c>
      <c r="AT19" s="561">
        <v>326.31</v>
      </c>
      <c r="AU19" s="565">
        <v>10576.43</v>
      </c>
      <c r="AV19" s="562">
        <v>11997.600000000002</v>
      </c>
      <c r="AW19" s="562">
        <v>13848.640000000005</v>
      </c>
      <c r="AX19" s="562">
        <v>15263.470000000003</v>
      </c>
      <c r="AY19" s="562">
        <v>16144.189999999999</v>
      </c>
      <c r="AZ19" s="562">
        <v>15355.100000000004</v>
      </c>
      <c r="BA19" s="562">
        <v>15443.720000000005</v>
      </c>
      <c r="BB19" s="562">
        <v>15819.660000000005</v>
      </c>
      <c r="BC19" s="562">
        <v>17363.539999999997</v>
      </c>
      <c r="BD19" s="562">
        <v>20972.860000000004</v>
      </c>
      <c r="BE19" s="562">
        <v>15347.840000000007</v>
      </c>
      <c r="BF19" s="562">
        <f t="shared" si="2"/>
        <v>-14902.360000000044</v>
      </c>
      <c r="BG19" s="563">
        <v>153557</v>
      </c>
      <c r="BH19" s="566">
        <v>320.07</v>
      </c>
      <c r="BI19" s="567">
        <v>0</v>
      </c>
      <c r="BJ19" s="567">
        <v>0</v>
      </c>
      <c r="BK19" s="567">
        <v>10415</v>
      </c>
      <c r="BL19" s="567">
        <v>14232</v>
      </c>
      <c r="BM19" s="567">
        <v>15717</v>
      </c>
      <c r="BN19" s="567">
        <v>17080</v>
      </c>
      <c r="BO19" s="567">
        <v>16337</v>
      </c>
      <c r="BP19" s="567">
        <v>18579</v>
      </c>
      <c r="BQ19" s="567">
        <v>17162.260000000002</v>
      </c>
      <c r="BR19" s="567">
        <v>21298</v>
      </c>
      <c r="BS19" s="567">
        <v>22346.599999999984</v>
      </c>
      <c r="BT19" s="567">
        <f t="shared" si="0"/>
        <v>28771.070000000007</v>
      </c>
      <c r="BU19" s="568">
        <v>182258</v>
      </c>
      <c r="BW19" s="540"/>
    </row>
    <row r="20" spans="1:75">
      <c r="A20" s="558"/>
      <c r="B20" s="559" t="s">
        <v>407</v>
      </c>
      <c r="C20" s="560" t="s">
        <v>269</v>
      </c>
      <c r="D20" s="561"/>
      <c r="E20" s="562"/>
      <c r="F20" s="562"/>
      <c r="G20" s="562"/>
      <c r="H20" s="562"/>
      <c r="I20" s="562">
        <v>1793.99</v>
      </c>
      <c r="J20" s="562">
        <v>1979.35</v>
      </c>
      <c r="K20" s="562"/>
      <c r="L20" s="562"/>
      <c r="M20" s="562">
        <v>2327.9499999999998</v>
      </c>
      <c r="N20" s="562"/>
      <c r="O20" s="562"/>
      <c r="P20" s="562">
        <v>2439.9</v>
      </c>
      <c r="Q20" s="563">
        <v>8541.19</v>
      </c>
      <c r="R20" s="561"/>
      <c r="S20" s="562"/>
      <c r="T20" s="562"/>
      <c r="U20" s="562"/>
      <c r="V20" s="562">
        <v>1614.63</v>
      </c>
      <c r="W20" s="562"/>
      <c r="X20" s="562"/>
      <c r="Y20" s="562"/>
      <c r="Z20" s="562"/>
      <c r="AA20" s="562"/>
      <c r="AB20" s="562"/>
      <c r="AC20" s="562"/>
      <c r="AD20" s="562">
        <v>6904.5</v>
      </c>
      <c r="AE20" s="563">
        <v>8519.130000000001</v>
      </c>
      <c r="AF20" s="561"/>
      <c r="AG20" s="562"/>
      <c r="AH20" s="562"/>
      <c r="AI20" s="562">
        <v>1757.34</v>
      </c>
      <c r="AJ20" s="562"/>
      <c r="AK20" s="562"/>
      <c r="AL20" s="562"/>
      <c r="AM20" s="562"/>
      <c r="AN20" s="562"/>
      <c r="AO20" s="562"/>
      <c r="AP20" s="562"/>
      <c r="AQ20" s="562"/>
      <c r="AR20" s="562">
        <v>5316.12</v>
      </c>
      <c r="AS20" s="564">
        <f t="shared" si="1"/>
        <v>7073.46</v>
      </c>
      <c r="AT20" s="561"/>
      <c r="AU20" s="562"/>
      <c r="AV20" s="562"/>
      <c r="AW20" s="562">
        <v>0</v>
      </c>
      <c r="AX20" s="562">
        <v>0</v>
      </c>
      <c r="AY20" s="562">
        <v>0</v>
      </c>
      <c r="AZ20" s="562">
        <v>0</v>
      </c>
      <c r="BA20" s="562">
        <v>0</v>
      </c>
      <c r="BB20" s="562">
        <v>0</v>
      </c>
      <c r="BC20" s="562">
        <v>0</v>
      </c>
      <c r="BD20" s="562">
        <v>0</v>
      </c>
      <c r="BE20" s="562"/>
      <c r="BF20" s="562">
        <f t="shared" si="2"/>
        <v>8507</v>
      </c>
      <c r="BG20" s="563">
        <v>8507</v>
      </c>
      <c r="BH20" s="566">
        <v>0</v>
      </c>
      <c r="BI20" s="567">
        <v>0</v>
      </c>
      <c r="BJ20" s="567">
        <v>0</v>
      </c>
      <c r="BK20" s="567">
        <v>0</v>
      </c>
      <c r="BL20" s="567">
        <v>0</v>
      </c>
      <c r="BM20" s="567">
        <v>0</v>
      </c>
      <c r="BN20" s="567">
        <v>0</v>
      </c>
      <c r="BO20" s="567">
        <v>0</v>
      </c>
      <c r="BP20" s="567">
        <v>0</v>
      </c>
      <c r="BQ20" s="567">
        <v>0</v>
      </c>
      <c r="BR20" s="567">
        <v>0</v>
      </c>
      <c r="BS20" s="567">
        <v>0</v>
      </c>
      <c r="BT20" s="567">
        <f t="shared" si="0"/>
        <v>8792</v>
      </c>
      <c r="BU20" s="568">
        <v>8792</v>
      </c>
      <c r="BW20" s="540"/>
    </row>
    <row r="21" spans="1:75" s="536" customFormat="1" ht="16.8" thickBot="1">
      <c r="A21" s="574"/>
      <c r="B21" s="575" t="s">
        <v>161</v>
      </c>
      <c r="C21" s="576"/>
      <c r="D21" s="577">
        <v>30353987.296612598</v>
      </c>
      <c r="E21" s="578">
        <v>42051280.425962016</v>
      </c>
      <c r="F21" s="578">
        <v>40238054.729762219</v>
      </c>
      <c r="G21" s="578">
        <v>40809499.896442801</v>
      </c>
      <c r="H21" s="578">
        <v>43393177.388692804</v>
      </c>
      <c r="I21" s="578">
        <v>40354805.632645592</v>
      </c>
      <c r="J21" s="578">
        <v>40649854.799386404</v>
      </c>
      <c r="K21" s="578">
        <v>39022351.780811004</v>
      </c>
      <c r="L21" s="578">
        <v>47479320.419950001</v>
      </c>
      <c r="M21" s="578">
        <v>43008442.519307196</v>
      </c>
      <c r="N21" s="578">
        <v>38043320.764648981</v>
      </c>
      <c r="O21" s="578">
        <v>41276584.497798994</v>
      </c>
      <c r="P21" s="578">
        <v>24345798.035454784</v>
      </c>
      <c r="Q21" s="579">
        <v>511026478.1874755</v>
      </c>
      <c r="R21" s="577">
        <v>32170270.550795097</v>
      </c>
      <c r="S21" s="578">
        <v>36054322.923140712</v>
      </c>
      <c r="T21" s="578">
        <v>42888990.296463601</v>
      </c>
      <c r="U21" s="578">
        <v>43789082.524950199</v>
      </c>
      <c r="V21" s="578">
        <v>47949757.850630499</v>
      </c>
      <c r="W21" s="578">
        <v>39605286.196511813</v>
      </c>
      <c r="X21" s="578">
        <v>52319839.148378812</v>
      </c>
      <c r="Y21" s="578">
        <v>50976759.179439656</v>
      </c>
      <c r="Z21" s="578">
        <v>45678152.590221807</v>
      </c>
      <c r="AA21" s="578">
        <v>47351439.188634291</v>
      </c>
      <c r="AB21" s="578">
        <v>41060179.543106489</v>
      </c>
      <c r="AC21" s="578">
        <v>54204224.2036357</v>
      </c>
      <c r="AD21" s="578">
        <v>20862682.934807785</v>
      </c>
      <c r="AE21" s="579">
        <v>554910987.13071644</v>
      </c>
      <c r="AF21" s="578">
        <f t="shared" ref="AF21:AS21" si="3">SUM(AF8:AF20)</f>
        <v>33978625.511699907</v>
      </c>
      <c r="AG21" s="578">
        <f t="shared" si="3"/>
        <v>39007792.947783597</v>
      </c>
      <c r="AH21" s="578">
        <f t="shared" si="3"/>
        <v>48537562.392252192</v>
      </c>
      <c r="AI21" s="578">
        <f t="shared" si="3"/>
        <v>56851355.706319109</v>
      </c>
      <c r="AJ21" s="578">
        <f t="shared" si="3"/>
        <v>47279509.348058507</v>
      </c>
      <c r="AK21" s="578">
        <f t="shared" si="3"/>
        <v>55572834.307439081</v>
      </c>
      <c r="AL21" s="578">
        <f t="shared" si="3"/>
        <v>56000725.3861688</v>
      </c>
      <c r="AM21" s="578">
        <f t="shared" si="3"/>
        <v>59708335.372915395</v>
      </c>
      <c r="AN21" s="578">
        <f t="shared" si="3"/>
        <v>60846656.417408608</v>
      </c>
      <c r="AO21" s="578">
        <f t="shared" si="3"/>
        <v>60935381.119590178</v>
      </c>
      <c r="AP21" s="578">
        <f t="shared" si="3"/>
        <v>61002193.280765399</v>
      </c>
      <c r="AQ21" s="578">
        <f t="shared" si="3"/>
        <v>58249080.798995398</v>
      </c>
      <c r="AR21" s="578">
        <f>SUM(AR8:AR20)</f>
        <v>35336034.289999463</v>
      </c>
      <c r="AS21" s="578">
        <f t="shared" si="3"/>
        <v>673306086.87939548</v>
      </c>
      <c r="AT21" s="577">
        <f t="shared" ref="AT21:BA21" si="4">AT8+AT9+AT10+AT11+AT12+AT13+AT14+AT15+AT16+AT17+AT18+AT19+AT20</f>
        <v>44267057.969999991</v>
      </c>
      <c r="AU21" s="578">
        <f t="shared" si="4"/>
        <v>49179926.420000017</v>
      </c>
      <c r="AV21" s="578">
        <f t="shared" si="4"/>
        <v>50520713.549999997</v>
      </c>
      <c r="AW21" s="578">
        <f t="shared" si="4"/>
        <v>50542518.169999979</v>
      </c>
      <c r="AX21" s="578">
        <f>AX8+AX9+AX10+AX11+AX12+AX13+AX14+AX15+AX16+AX17+AX18+AX19+AX20</f>
        <v>51735639.970000185</v>
      </c>
      <c r="AY21" s="578">
        <f t="shared" si="4"/>
        <v>49074081.636000037</v>
      </c>
      <c r="AZ21" s="578">
        <f t="shared" si="4"/>
        <v>48888835.667200014</v>
      </c>
      <c r="BA21" s="578">
        <f t="shared" si="4"/>
        <v>50926272.243865982</v>
      </c>
      <c r="BB21" s="578">
        <v>49476066.328405954</v>
      </c>
      <c r="BC21" s="578">
        <f>SUM(BC8:BC20)</f>
        <v>51844703.794048011</v>
      </c>
      <c r="BD21" s="578">
        <f>SUM(BD8:BD20)</f>
        <v>53424732.168396741</v>
      </c>
      <c r="BE21" s="578">
        <f>SUM(BE8:BE20)</f>
        <v>110518943.99999997</v>
      </c>
      <c r="BF21" s="578">
        <f>SUM(BF8:BF20)</f>
        <v>47967737.893017404</v>
      </c>
      <c r="BG21" s="580">
        <f>SUM(BG8:BG20)</f>
        <v>708367230.10093427</v>
      </c>
      <c r="BH21" s="581">
        <v>44639864.280000009</v>
      </c>
      <c r="BI21" s="582">
        <v>50396468.744108662</v>
      </c>
      <c r="BJ21" s="582">
        <v>51334903</v>
      </c>
      <c r="BK21" s="582">
        <v>51238605</v>
      </c>
      <c r="BL21" s="582">
        <v>51995958</v>
      </c>
      <c r="BM21" s="582">
        <v>52555951</v>
      </c>
      <c r="BN21" s="582">
        <v>53370865</v>
      </c>
      <c r="BO21" s="582">
        <f t="shared" ref="BO21:BU21" si="5">SUM(BO8:BO20)</f>
        <v>53008374</v>
      </c>
      <c r="BP21" s="582">
        <f t="shared" si="5"/>
        <v>105143347</v>
      </c>
      <c r="BQ21" s="582">
        <f t="shared" si="5"/>
        <v>53811113.743485972</v>
      </c>
      <c r="BR21" s="582">
        <f t="shared" si="5"/>
        <v>71901693</v>
      </c>
      <c r="BS21" s="582">
        <f t="shared" si="5"/>
        <v>68641861.986722246</v>
      </c>
      <c r="BT21" s="582">
        <f t="shared" si="0"/>
        <v>16365407.245683193</v>
      </c>
      <c r="BU21" s="582">
        <f t="shared" si="5"/>
        <v>724404412</v>
      </c>
      <c r="BV21" s="539"/>
      <c r="BW21" s="540"/>
    </row>
    <row r="22" spans="1:75" s="551" customFormat="1"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4"/>
      <c r="AU22" s="584"/>
      <c r="AV22" s="584"/>
      <c r="AW22" s="584"/>
      <c r="AX22" s="584"/>
      <c r="AY22" s="584"/>
      <c r="AZ22" s="584"/>
      <c r="BA22" s="584"/>
      <c r="BB22" s="584"/>
      <c r="BC22" s="584"/>
      <c r="BD22" s="584"/>
      <c r="BE22" s="584"/>
      <c r="BF22" s="584"/>
      <c r="BG22" s="584"/>
      <c r="BH22" s="585"/>
      <c r="BI22" s="585"/>
      <c r="BJ22" s="585"/>
      <c r="BK22" s="585"/>
      <c r="BL22" s="585"/>
      <c r="BM22" s="585"/>
      <c r="BN22" s="585"/>
      <c r="BO22" s="585"/>
      <c r="BP22" s="585"/>
      <c r="BQ22" s="585"/>
      <c r="BR22" s="585"/>
      <c r="BS22" s="585"/>
      <c r="BT22" s="585"/>
      <c r="BU22" s="585"/>
      <c r="BV22" s="583"/>
    </row>
    <row r="23" spans="1:75" s="551" customFormat="1" ht="16.8" thickBot="1">
      <c r="AR23" s="586"/>
      <c r="AT23" s="569"/>
      <c r="BF23" s="587"/>
      <c r="BG23" s="588"/>
      <c r="BH23" s="589"/>
      <c r="BI23" s="589"/>
      <c r="BJ23" s="589"/>
      <c r="BK23" s="589"/>
      <c r="BL23" s="589"/>
      <c r="BM23" s="589"/>
      <c r="BN23" s="589"/>
      <c r="BO23" s="589"/>
      <c r="BP23" s="589"/>
      <c r="BQ23" s="589"/>
      <c r="BR23" s="589"/>
      <c r="BS23" s="589"/>
      <c r="BT23" s="589"/>
      <c r="BU23" s="589"/>
      <c r="BV23" s="583"/>
    </row>
    <row r="24" spans="1:75" s="536" customFormat="1" ht="16.8" thickBot="1">
      <c r="D24" s="544" t="s">
        <v>366</v>
      </c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6"/>
      <c r="R24" s="544" t="s">
        <v>367</v>
      </c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6"/>
      <c r="AF24" s="544" t="s">
        <v>368</v>
      </c>
      <c r="AG24" s="545"/>
      <c r="AH24" s="545"/>
      <c r="AI24" s="545"/>
      <c r="AJ24" s="545"/>
      <c r="AK24" s="545"/>
      <c r="AL24" s="545"/>
      <c r="AM24" s="545"/>
      <c r="AN24" s="545"/>
      <c r="AO24" s="545"/>
      <c r="AP24" s="545"/>
      <c r="AQ24" s="545"/>
      <c r="AR24" s="545"/>
      <c r="AS24" s="545"/>
      <c r="AT24" s="547" t="s">
        <v>369</v>
      </c>
      <c r="AU24" s="548"/>
      <c r="AV24" s="548"/>
      <c r="AW24" s="548"/>
      <c r="AX24" s="548"/>
      <c r="AY24" s="548"/>
      <c r="AZ24" s="548"/>
      <c r="BA24" s="548"/>
      <c r="BB24" s="548"/>
      <c r="BC24" s="548"/>
      <c r="BD24" s="548"/>
      <c r="BE24" s="548"/>
      <c r="BF24" s="548"/>
      <c r="BG24" s="549"/>
      <c r="BH24" s="547" t="s">
        <v>370</v>
      </c>
      <c r="BI24" s="590"/>
      <c r="BJ24" s="590"/>
      <c r="BK24" s="590"/>
      <c r="BL24" s="590"/>
      <c r="BM24" s="590"/>
      <c r="BN24" s="548"/>
      <c r="BO24" s="590"/>
      <c r="BP24" s="590"/>
      <c r="BQ24" s="590"/>
      <c r="BR24" s="590"/>
      <c r="BS24" s="590"/>
      <c r="BT24" s="590"/>
      <c r="BU24" s="591"/>
      <c r="BV24" s="550"/>
    </row>
    <row r="25" spans="1:75" s="536" customFormat="1">
      <c r="A25" s="592" t="s">
        <v>408</v>
      </c>
      <c r="B25" s="552" t="s">
        <v>51</v>
      </c>
      <c r="C25" s="553" t="s">
        <v>372</v>
      </c>
      <c r="D25" s="554" t="s">
        <v>373</v>
      </c>
      <c r="E25" s="555" t="s">
        <v>374</v>
      </c>
      <c r="F25" s="555" t="s">
        <v>375</v>
      </c>
      <c r="G25" s="555" t="s">
        <v>376</v>
      </c>
      <c r="H25" s="555" t="s">
        <v>377</v>
      </c>
      <c r="I25" s="555" t="s">
        <v>378</v>
      </c>
      <c r="J25" s="555" t="s">
        <v>379</v>
      </c>
      <c r="K25" s="555" t="s">
        <v>380</v>
      </c>
      <c r="L25" s="555" t="s">
        <v>381</v>
      </c>
      <c r="M25" s="555" t="s">
        <v>382</v>
      </c>
      <c r="N25" s="555" t="s">
        <v>383</v>
      </c>
      <c r="O25" s="555" t="s">
        <v>384</v>
      </c>
      <c r="P25" s="555" t="s">
        <v>385</v>
      </c>
      <c r="Q25" s="556" t="s">
        <v>386</v>
      </c>
      <c r="R25" s="554" t="s">
        <v>373</v>
      </c>
      <c r="S25" s="555" t="s">
        <v>374</v>
      </c>
      <c r="T25" s="555" t="s">
        <v>375</v>
      </c>
      <c r="U25" s="555" t="s">
        <v>376</v>
      </c>
      <c r="V25" s="555" t="s">
        <v>377</v>
      </c>
      <c r="W25" s="555" t="s">
        <v>378</v>
      </c>
      <c r="X25" s="555" t="s">
        <v>379</v>
      </c>
      <c r="Y25" s="555" t="s">
        <v>380</v>
      </c>
      <c r="Z25" s="555" t="s">
        <v>381</v>
      </c>
      <c r="AA25" s="555" t="s">
        <v>382</v>
      </c>
      <c r="AB25" s="555" t="s">
        <v>383</v>
      </c>
      <c r="AC25" s="555" t="s">
        <v>384</v>
      </c>
      <c r="AD25" s="555" t="s">
        <v>387</v>
      </c>
      <c r="AE25" s="556" t="s">
        <v>388</v>
      </c>
      <c r="AF25" s="554" t="s">
        <v>373</v>
      </c>
      <c r="AG25" s="555" t="s">
        <v>374</v>
      </c>
      <c r="AH25" s="555" t="s">
        <v>375</v>
      </c>
      <c r="AI25" s="555" t="s">
        <v>376</v>
      </c>
      <c r="AJ25" s="555" t="s">
        <v>377</v>
      </c>
      <c r="AK25" s="555" t="s">
        <v>378</v>
      </c>
      <c r="AL25" s="555" t="s">
        <v>379</v>
      </c>
      <c r="AM25" s="555" t="s">
        <v>380</v>
      </c>
      <c r="AN25" s="555" t="s">
        <v>381</v>
      </c>
      <c r="AO25" s="555" t="s">
        <v>382</v>
      </c>
      <c r="AP25" s="555" t="s">
        <v>383</v>
      </c>
      <c r="AQ25" s="555" t="s">
        <v>384</v>
      </c>
      <c r="AR25" s="555" t="s">
        <v>389</v>
      </c>
      <c r="AS25" s="557" t="s">
        <v>390</v>
      </c>
      <c r="AT25" s="554" t="s">
        <v>373</v>
      </c>
      <c r="AU25" s="555" t="s">
        <v>374</v>
      </c>
      <c r="AV25" s="555" t="s">
        <v>375</v>
      </c>
      <c r="AW25" s="555" t="s">
        <v>376</v>
      </c>
      <c r="AX25" s="555" t="s">
        <v>377</v>
      </c>
      <c r="AY25" s="555" t="s">
        <v>378</v>
      </c>
      <c r="AZ25" s="555" t="s">
        <v>379</v>
      </c>
      <c r="BA25" s="555" t="s">
        <v>380</v>
      </c>
      <c r="BB25" s="555" t="s">
        <v>381</v>
      </c>
      <c r="BC25" s="555" t="s">
        <v>382</v>
      </c>
      <c r="BD25" s="555" t="s">
        <v>383</v>
      </c>
      <c r="BE25" s="555" t="s">
        <v>384</v>
      </c>
      <c r="BF25" s="555" t="s">
        <v>476</v>
      </c>
      <c r="BG25" s="556" t="s">
        <v>391</v>
      </c>
      <c r="BH25" s="593" t="s">
        <v>373</v>
      </c>
      <c r="BI25" s="594" t="s">
        <v>374</v>
      </c>
      <c r="BJ25" s="594" t="s">
        <v>375</v>
      </c>
      <c r="BK25" s="594" t="s">
        <v>376</v>
      </c>
      <c r="BL25" s="594" t="s">
        <v>377</v>
      </c>
      <c r="BM25" s="594" t="s">
        <v>378</v>
      </c>
      <c r="BN25" s="594" t="s">
        <v>379</v>
      </c>
      <c r="BO25" s="594" t="s">
        <v>380</v>
      </c>
      <c r="BP25" s="594" t="s">
        <v>381</v>
      </c>
      <c r="BQ25" s="594" t="s">
        <v>382</v>
      </c>
      <c r="BR25" s="594" t="s">
        <v>383</v>
      </c>
      <c r="BS25" s="594" t="s">
        <v>384</v>
      </c>
      <c r="BT25" s="594" t="s">
        <v>597</v>
      </c>
      <c r="BU25" s="556" t="s">
        <v>392</v>
      </c>
      <c r="BV25" s="550"/>
    </row>
    <row r="26" spans="1:75" ht="15" customHeight="1">
      <c r="A26" s="558" t="s">
        <v>4</v>
      </c>
      <c r="B26" s="551" t="s">
        <v>53</v>
      </c>
      <c r="C26" s="560" t="s">
        <v>52</v>
      </c>
      <c r="D26" s="561">
        <v>25677101.68</v>
      </c>
      <c r="E26" s="562">
        <v>12234341.45999999</v>
      </c>
      <c r="F26" s="562">
        <v>11592712.189999999</v>
      </c>
      <c r="G26" s="562">
        <v>12006746.430000005</v>
      </c>
      <c r="H26" s="562">
        <v>12425655.34</v>
      </c>
      <c r="I26" s="562">
        <v>10423656.539999999</v>
      </c>
      <c r="J26" s="562">
        <v>17824873.139999982</v>
      </c>
      <c r="K26" s="562">
        <v>11296817.410000004</v>
      </c>
      <c r="L26" s="562">
        <v>12425460.029999997</v>
      </c>
      <c r="M26" s="562">
        <v>18007628.869999994</v>
      </c>
      <c r="N26" s="562">
        <v>24145447.819936365</v>
      </c>
      <c r="O26" s="562">
        <v>32231893.810063601</v>
      </c>
      <c r="P26" s="562">
        <v>11473170.9163779</v>
      </c>
      <c r="Q26" s="563">
        <v>211765505.63637793</v>
      </c>
      <c r="R26" s="561">
        <v>27844550.909999996</v>
      </c>
      <c r="S26" s="562">
        <v>11604105.129999993</v>
      </c>
      <c r="T26" s="562">
        <v>16489730.460000006</v>
      </c>
      <c r="U26" s="562">
        <v>9181333.7200000025</v>
      </c>
      <c r="V26" s="562">
        <v>19515013.529999994</v>
      </c>
      <c r="W26" s="562">
        <v>13862212.57</v>
      </c>
      <c r="X26" s="562">
        <v>15001804.010000005</v>
      </c>
      <c r="Y26" s="562">
        <v>4244906.900000006</v>
      </c>
      <c r="Z26" s="562">
        <v>45250878.990000039</v>
      </c>
      <c r="AA26" s="562">
        <v>39499119.830000021</v>
      </c>
      <c r="AB26" s="562">
        <v>33170660.530000113</v>
      </c>
      <c r="AC26" s="562">
        <v>77460613.690000072</v>
      </c>
      <c r="AD26" s="562">
        <v>30442272.279656686</v>
      </c>
      <c r="AE26" s="563">
        <v>343567202.54965693</v>
      </c>
      <c r="AF26" s="561">
        <v>20942354.18999996</v>
      </c>
      <c r="AG26" s="562">
        <v>24087514.350000046</v>
      </c>
      <c r="AH26" s="562">
        <v>32478667.840000074</v>
      </c>
      <c r="AI26" s="562">
        <v>33505926.410000112</v>
      </c>
      <c r="AJ26" s="562">
        <v>27838023.790000007</v>
      </c>
      <c r="AK26" s="562">
        <v>37196981.979999989</v>
      </c>
      <c r="AL26" s="562">
        <v>36403601.780000024</v>
      </c>
      <c r="AM26" s="562">
        <v>39616299.000000119</v>
      </c>
      <c r="AN26" s="562">
        <v>40307061.239999875</v>
      </c>
      <c r="AO26" s="562">
        <v>40762058.86999999</v>
      </c>
      <c r="AP26" s="562">
        <v>42896932.729999922</v>
      </c>
      <c r="AQ26" s="562">
        <v>23102204.400000021</v>
      </c>
      <c r="AR26" s="565">
        <v>52593887.230000295</v>
      </c>
      <c r="AS26" s="564">
        <f t="shared" ref="AS26:AS46" si="6">SUM(AF26:AR26)</f>
        <v>451731513.81000048</v>
      </c>
      <c r="AT26" s="561">
        <v>31384523.359999988</v>
      </c>
      <c r="AU26" s="562">
        <v>35004664.450000063</v>
      </c>
      <c r="AV26" s="562">
        <v>36691887.989999995</v>
      </c>
      <c r="AW26" s="562">
        <v>36153222.749999978</v>
      </c>
      <c r="AX26" s="562">
        <v>36958257.050000183</v>
      </c>
      <c r="AY26" s="565">
        <v>40243046.530000024</v>
      </c>
      <c r="AZ26" s="562">
        <v>6139490.9400000032</v>
      </c>
      <c r="BA26" s="562">
        <v>6043470.0199999874</v>
      </c>
      <c r="BB26" s="562">
        <v>5346694.4300000099</v>
      </c>
      <c r="BC26" s="565">
        <v>16125285.92</v>
      </c>
      <c r="BD26" s="562">
        <v>27634361.640000038</v>
      </c>
      <c r="BE26" s="562">
        <v>86312457.300000012</v>
      </c>
      <c r="BF26" s="562">
        <f>$BG26-SUM($AT26:BE26)</f>
        <v>119155537.61999977</v>
      </c>
      <c r="BG26" s="563">
        <v>483192900</v>
      </c>
      <c r="BH26" s="566">
        <v>39427816.700000003</v>
      </c>
      <c r="BI26" s="567">
        <v>9741068.0899999999</v>
      </c>
      <c r="BJ26" s="567">
        <v>7953981</v>
      </c>
      <c r="BK26" s="567">
        <v>8188232</v>
      </c>
      <c r="BL26" s="567">
        <v>7841839</v>
      </c>
      <c r="BM26" s="567">
        <v>19461059</v>
      </c>
      <c r="BN26" s="567">
        <v>20316292</v>
      </c>
      <c r="BO26" s="567">
        <v>18664477</v>
      </c>
      <c r="BP26" s="567">
        <v>64438990</v>
      </c>
      <c r="BQ26" s="567">
        <v>20034894</v>
      </c>
      <c r="BR26" s="567">
        <v>59928514</v>
      </c>
      <c r="BS26" s="567">
        <v>60102943</v>
      </c>
      <c r="BT26" s="595">
        <f>BU26-(BH26+BI26+BJ26+BK26+BL26+BM26+BN26+BO26+BP26+BQ26+BR26+BS26)</f>
        <v>158492348.20999998</v>
      </c>
      <c r="BU26" s="563">
        <v>494592454</v>
      </c>
      <c r="BW26" s="540"/>
    </row>
    <row r="27" spans="1:75" ht="15" customHeight="1">
      <c r="A27" s="558"/>
      <c r="B27" s="551" t="s">
        <v>55</v>
      </c>
      <c r="C27" s="560" t="s">
        <v>54</v>
      </c>
      <c r="D27" s="561">
        <v>362194.92</v>
      </c>
      <c r="E27" s="562">
        <v>503233.40000000008</v>
      </c>
      <c r="F27" s="562">
        <v>480559.72999999992</v>
      </c>
      <c r="G27" s="562">
        <v>420018.28999999992</v>
      </c>
      <c r="H27" s="562">
        <v>512823.8</v>
      </c>
      <c r="I27" s="562">
        <v>398245.30999999994</v>
      </c>
      <c r="J27" s="562">
        <v>91625.370000000024</v>
      </c>
      <c r="K27" s="562">
        <v>369424.3000000001</v>
      </c>
      <c r="L27" s="562">
        <v>453964.80000000005</v>
      </c>
      <c r="M27" s="562">
        <v>316091.06999999983</v>
      </c>
      <c r="N27" s="562">
        <v>377296.24829560053</v>
      </c>
      <c r="O27" s="562">
        <v>414377.9417044</v>
      </c>
      <c r="P27" s="562">
        <v>-184255.85137589977</v>
      </c>
      <c r="Q27" s="563">
        <v>4515599.3286240995</v>
      </c>
      <c r="R27" s="561">
        <v>312855.33999999997</v>
      </c>
      <c r="S27" s="562">
        <v>254915.51000000004</v>
      </c>
      <c r="T27" s="562">
        <v>312685.45</v>
      </c>
      <c r="U27" s="562">
        <v>295349.8299999999</v>
      </c>
      <c r="V27" s="562">
        <v>351125.2</v>
      </c>
      <c r="W27" s="562">
        <v>340694.45</v>
      </c>
      <c r="X27" s="562">
        <v>430161.16999999987</v>
      </c>
      <c r="Y27" s="562">
        <v>410392.49999999983</v>
      </c>
      <c r="Z27" s="562">
        <v>590421.7799999998</v>
      </c>
      <c r="AA27" s="562">
        <v>410624.50000000006</v>
      </c>
      <c r="AB27" s="562">
        <v>488884.14999999956</v>
      </c>
      <c r="AC27" s="562">
        <v>424230.42</v>
      </c>
      <c r="AD27" s="562">
        <v>310417.66545140033</v>
      </c>
      <c r="AE27" s="563">
        <v>4932757.9654513989</v>
      </c>
      <c r="AF27" s="561">
        <v>303093.60000000015</v>
      </c>
      <c r="AG27" s="562">
        <v>348687.12999999995</v>
      </c>
      <c r="AH27" s="562">
        <v>416949.65999999992</v>
      </c>
      <c r="AI27" s="562">
        <v>504676.2100000002</v>
      </c>
      <c r="AJ27" s="562">
        <v>419073.2200000002</v>
      </c>
      <c r="AK27" s="562">
        <v>498600.09000000008</v>
      </c>
      <c r="AL27" s="562">
        <v>501977.03000000044</v>
      </c>
      <c r="AM27" s="562">
        <v>535817.41000000015</v>
      </c>
      <c r="AN27" s="562">
        <v>545963.97999999986</v>
      </c>
      <c r="AO27" s="562">
        <v>549397.68999999994</v>
      </c>
      <c r="AP27" s="562">
        <v>544692.67999999959</v>
      </c>
      <c r="AQ27" s="562">
        <v>505277.92999999993</v>
      </c>
      <c r="AR27" s="565">
        <v>793253.24999999895</v>
      </c>
      <c r="AS27" s="564">
        <f t="shared" si="6"/>
        <v>6467459.8799999999</v>
      </c>
      <c r="AT27" s="561">
        <v>425614.42</v>
      </c>
      <c r="AU27" s="562">
        <v>470918.44000000024</v>
      </c>
      <c r="AV27" s="562">
        <v>485088.1</v>
      </c>
      <c r="AW27" s="562">
        <v>484124.51999999996</v>
      </c>
      <c r="AX27" s="562">
        <v>489863.40999999963</v>
      </c>
      <c r="AY27" s="565">
        <v>471151.20999999956</v>
      </c>
      <c r="AZ27" s="562">
        <v>470171.73</v>
      </c>
      <c r="BA27" s="562">
        <v>486249.10999999993</v>
      </c>
      <c r="BB27" s="562">
        <v>474679.30000000016</v>
      </c>
      <c r="BC27" s="565">
        <v>498114.4800000001</v>
      </c>
      <c r="BD27" s="562">
        <v>501613.20999999996</v>
      </c>
      <c r="BE27" s="562">
        <v>1217966.8700000001</v>
      </c>
      <c r="BF27" s="562">
        <f>$BG27-SUM($AT27:BE27)</f>
        <v>563390.20000000019</v>
      </c>
      <c r="BG27" s="563">
        <v>7038945</v>
      </c>
      <c r="BH27" s="566">
        <v>434000.42000000004</v>
      </c>
      <c r="BI27" s="567">
        <v>480786.03</v>
      </c>
      <c r="BJ27" s="567">
        <v>496943</v>
      </c>
      <c r="BK27" s="567">
        <v>492199</v>
      </c>
      <c r="BL27" s="567">
        <v>506624</v>
      </c>
      <c r="BM27" s="567">
        <v>514985</v>
      </c>
      <c r="BN27" s="567">
        <v>512174</v>
      </c>
      <c r="BO27" s="567">
        <v>533275</v>
      </c>
      <c r="BP27" s="567">
        <v>1090636</v>
      </c>
      <c r="BQ27" s="567">
        <v>522897</v>
      </c>
      <c r="BR27" s="567">
        <v>476251</v>
      </c>
      <c r="BS27" s="567">
        <v>685787</v>
      </c>
      <c r="BT27" s="567">
        <f t="shared" ref="BT27:BT48" si="7">BU27-(BH27+BI27+BJ27+BK27+BL27+BM27+BN27+BO27+BP27+BQ27+BR27+BS27)</f>
        <v>374541.54999999981</v>
      </c>
      <c r="BU27" s="563">
        <v>7121099</v>
      </c>
      <c r="BW27" s="540"/>
    </row>
    <row r="28" spans="1:75" s="604" customFormat="1">
      <c r="A28" s="596" t="s">
        <v>409</v>
      </c>
      <c r="B28" s="597"/>
      <c r="C28" s="598"/>
      <c r="D28" s="599">
        <v>26039296.600000001</v>
      </c>
      <c r="E28" s="564">
        <v>12737574.85999999</v>
      </c>
      <c r="F28" s="564">
        <v>12073271.92</v>
      </c>
      <c r="G28" s="564">
        <v>12426764.720000004</v>
      </c>
      <c r="H28" s="564">
        <v>12938479.140000001</v>
      </c>
      <c r="I28" s="564">
        <v>10821901.85</v>
      </c>
      <c r="J28" s="564">
        <v>17916498.509999983</v>
      </c>
      <c r="K28" s="564">
        <v>11666241.710000005</v>
      </c>
      <c r="L28" s="564">
        <v>12879424.829999998</v>
      </c>
      <c r="M28" s="564">
        <v>18323719.939999994</v>
      </c>
      <c r="N28" s="564">
        <v>24522744.068231966</v>
      </c>
      <c r="O28" s="564">
        <v>32646271.751768</v>
      </c>
      <c r="P28" s="564">
        <v>11288915.065002</v>
      </c>
      <c r="Q28" s="563">
        <v>216281104.96500203</v>
      </c>
      <c r="R28" s="599">
        <v>28157406.249999996</v>
      </c>
      <c r="S28" s="564">
        <v>11859020.639999993</v>
      </c>
      <c r="T28" s="564">
        <v>16802415.910000008</v>
      </c>
      <c r="U28" s="564">
        <v>9476683.5500000026</v>
      </c>
      <c r="V28" s="564">
        <v>19866138.729999993</v>
      </c>
      <c r="W28" s="564">
        <v>14202907.02</v>
      </c>
      <c r="X28" s="564">
        <v>15431965.180000005</v>
      </c>
      <c r="Y28" s="564">
        <v>4655299.400000006</v>
      </c>
      <c r="Z28" s="564">
        <v>45841300.770000041</v>
      </c>
      <c r="AA28" s="564">
        <v>39909744.330000021</v>
      </c>
      <c r="AB28" s="564">
        <v>33659544.680000111</v>
      </c>
      <c r="AC28" s="564">
        <v>77884844.110000074</v>
      </c>
      <c r="AD28" s="564">
        <v>30752689.945108086</v>
      </c>
      <c r="AE28" s="563">
        <v>348499960.51510835</v>
      </c>
      <c r="AF28" s="564">
        <f t="shared" ref="AF28:AQ28" si="8">SUM(AF26:AF27)</f>
        <v>21245447.789999962</v>
      </c>
      <c r="AG28" s="564">
        <f t="shared" si="8"/>
        <v>24436201.480000045</v>
      </c>
      <c r="AH28" s="564">
        <f t="shared" si="8"/>
        <v>32895617.500000075</v>
      </c>
      <c r="AI28" s="564">
        <f t="shared" si="8"/>
        <v>34010602.620000109</v>
      </c>
      <c r="AJ28" s="564">
        <f t="shared" si="8"/>
        <v>28257097.010000005</v>
      </c>
      <c r="AK28" s="564">
        <f t="shared" si="8"/>
        <v>37695582.069999993</v>
      </c>
      <c r="AL28" s="564">
        <f t="shared" si="8"/>
        <v>36905578.810000025</v>
      </c>
      <c r="AM28" s="564">
        <f t="shared" si="8"/>
        <v>40152116.410000116</v>
      </c>
      <c r="AN28" s="564">
        <f t="shared" si="8"/>
        <v>40853025.219999872</v>
      </c>
      <c r="AO28" s="564">
        <f t="shared" si="8"/>
        <v>41311456.559999987</v>
      </c>
      <c r="AP28" s="564">
        <f t="shared" si="8"/>
        <v>43441625.409999922</v>
      </c>
      <c r="AQ28" s="564">
        <f t="shared" si="8"/>
        <v>23607482.330000021</v>
      </c>
      <c r="AR28" s="564">
        <f>SUM(AR26:AR27)</f>
        <v>53387140.480000295</v>
      </c>
      <c r="AS28" s="564">
        <f>SUM(AS26:AS27)</f>
        <v>458198973.69000047</v>
      </c>
      <c r="AT28" s="599">
        <f>SUM(AT26:AT27)</f>
        <v>31810137.77999999</v>
      </c>
      <c r="AU28" s="564">
        <f t="shared" ref="AU28:BG28" si="9">SUM(AU26:AU27)</f>
        <v>35475582.89000006</v>
      </c>
      <c r="AV28" s="564">
        <v>37176976.089999996</v>
      </c>
      <c r="AW28" s="564">
        <v>36637347.269999981</v>
      </c>
      <c r="AX28" s="564">
        <f t="shared" si="9"/>
        <v>37448120.46000018</v>
      </c>
      <c r="AY28" s="564">
        <f t="shared" si="9"/>
        <v>40714197.740000024</v>
      </c>
      <c r="AZ28" s="564">
        <f t="shared" si="9"/>
        <v>6609662.6700000037</v>
      </c>
      <c r="BA28" s="564">
        <f t="shared" si="9"/>
        <v>6529719.1299999878</v>
      </c>
      <c r="BB28" s="564">
        <v>5821373.7300000098</v>
      </c>
      <c r="BC28" s="564">
        <v>16623400.4</v>
      </c>
      <c r="BD28" s="564">
        <f t="shared" si="9"/>
        <v>28135974.850000039</v>
      </c>
      <c r="BE28" s="564">
        <f>SUM(BE26:BE27)</f>
        <v>87530424.170000017</v>
      </c>
      <c r="BF28" s="564">
        <f>SUM(BF26:BF27)</f>
        <v>119718927.81999977</v>
      </c>
      <c r="BG28" s="563">
        <f t="shared" si="9"/>
        <v>490231845</v>
      </c>
      <c r="BH28" s="600">
        <f>SUM(BH26:BH27)</f>
        <v>39861817.120000005</v>
      </c>
      <c r="BI28" s="601">
        <f t="shared" ref="BI28:BS28" si="10">SUM(BI26:BI27)</f>
        <v>10221854.119999999</v>
      </c>
      <c r="BJ28" s="601">
        <f t="shared" si="10"/>
        <v>8450924</v>
      </c>
      <c r="BK28" s="601">
        <f t="shared" si="10"/>
        <v>8680431</v>
      </c>
      <c r="BL28" s="601">
        <f t="shared" si="10"/>
        <v>8348463</v>
      </c>
      <c r="BM28" s="601">
        <f t="shared" si="10"/>
        <v>19976044</v>
      </c>
      <c r="BN28" s="601">
        <f t="shared" si="10"/>
        <v>20828466</v>
      </c>
      <c r="BO28" s="601">
        <f t="shared" si="10"/>
        <v>19197752</v>
      </c>
      <c r="BP28" s="601">
        <f t="shared" si="10"/>
        <v>65529626</v>
      </c>
      <c r="BQ28" s="601">
        <f t="shared" si="10"/>
        <v>20557791</v>
      </c>
      <c r="BR28" s="601">
        <f t="shared" si="10"/>
        <v>60404765</v>
      </c>
      <c r="BS28" s="601">
        <f t="shared" si="10"/>
        <v>60788730</v>
      </c>
      <c r="BT28" s="601">
        <f t="shared" si="7"/>
        <v>158866889.75999999</v>
      </c>
      <c r="BU28" s="602">
        <f>SUM(BU26:BU27)</f>
        <v>501713553</v>
      </c>
      <c r="BV28" s="539"/>
      <c r="BW28" s="603"/>
    </row>
    <row r="29" spans="1:75" ht="15" customHeight="1">
      <c r="A29" s="558" t="s">
        <v>215</v>
      </c>
      <c r="B29" s="551" t="s">
        <v>119</v>
      </c>
      <c r="C29" s="560" t="s">
        <v>121</v>
      </c>
      <c r="D29" s="561">
        <v>395.07</v>
      </c>
      <c r="E29" s="562">
        <v>461.23999999999995</v>
      </c>
      <c r="F29" s="562">
        <v>606.93999999999994</v>
      </c>
      <c r="G29" s="562">
        <v>15844.519999999999</v>
      </c>
      <c r="H29" s="562">
        <v>1518.3899999999999</v>
      </c>
      <c r="I29" s="562">
        <v>19346.829999999994</v>
      </c>
      <c r="J29" s="562">
        <v>21594.719999999998</v>
      </c>
      <c r="K29" s="562">
        <v>1332.0200000000002</v>
      </c>
      <c r="L29" s="562">
        <v>579.78</v>
      </c>
      <c r="M29" s="562">
        <v>-4516.8099999999949</v>
      </c>
      <c r="N29" s="562">
        <v>6242.5499999999975</v>
      </c>
      <c r="O29" s="562">
        <v>10777.610000000002</v>
      </c>
      <c r="P29" s="562">
        <v>33031.939999999988</v>
      </c>
      <c r="Q29" s="563">
        <v>107214.79999999997</v>
      </c>
      <c r="R29" s="561">
        <v>8494.5600000000013</v>
      </c>
      <c r="S29" s="562">
        <v>1201.69</v>
      </c>
      <c r="T29" s="562">
        <v>7034.44</v>
      </c>
      <c r="U29" s="562">
        <v>-1083.72</v>
      </c>
      <c r="V29" s="562">
        <v>7948.4</v>
      </c>
      <c r="W29" s="562">
        <v>22512.140000000003</v>
      </c>
      <c r="X29" s="562">
        <v>25785.779999999988</v>
      </c>
      <c r="Y29" s="562">
        <v>40247.03</v>
      </c>
      <c r="Z29" s="562">
        <v>94159.8299999999</v>
      </c>
      <c r="AA29" s="562">
        <v>29658.229999999992</v>
      </c>
      <c r="AB29" s="562">
        <v>83255.749999999869</v>
      </c>
      <c r="AC29" s="562">
        <v>23127.750000000004</v>
      </c>
      <c r="AD29" s="562">
        <v>-52395.579999999973</v>
      </c>
      <c r="AE29" s="563">
        <v>289946.29999999981</v>
      </c>
      <c r="AF29" s="561">
        <v>27063.580000000005</v>
      </c>
      <c r="AG29" s="562">
        <v>31081.829999999987</v>
      </c>
      <c r="AH29" s="562">
        <v>35690.33</v>
      </c>
      <c r="AI29" s="562">
        <v>44926.440000000031</v>
      </c>
      <c r="AJ29" s="562">
        <v>38599.599999999955</v>
      </c>
      <c r="AK29" s="562">
        <v>44194.519999999946</v>
      </c>
      <c r="AL29" s="562">
        <v>44561.850000000035</v>
      </c>
      <c r="AM29" s="562">
        <v>47452.760000000017</v>
      </c>
      <c r="AN29" s="562">
        <v>48608.829999999958</v>
      </c>
      <c r="AO29" s="562">
        <v>48568.709999999992</v>
      </c>
      <c r="AP29" s="562">
        <v>46559.179999999986</v>
      </c>
      <c r="AQ29" s="562">
        <v>44731.6</v>
      </c>
      <c r="AR29" s="565">
        <v>-286945.74000000011</v>
      </c>
      <c r="AS29" s="564">
        <f t="shared" si="6"/>
        <v>215093.48999999982</v>
      </c>
      <c r="AT29" s="561">
        <v>85.25</v>
      </c>
      <c r="AU29" s="562">
        <v>67.820000000000007</v>
      </c>
      <c r="AV29" s="562">
        <v>76.83</v>
      </c>
      <c r="AW29" s="562">
        <v>61.290000000000006</v>
      </c>
      <c r="AX29" s="562">
        <v>98.27</v>
      </c>
      <c r="AY29" s="565">
        <v>68.03</v>
      </c>
      <c r="AZ29" s="562">
        <v>69.179999999999993</v>
      </c>
      <c r="BA29" s="562">
        <v>95.490000000000023</v>
      </c>
      <c r="BB29" s="562">
        <v>65.070000000000022</v>
      </c>
      <c r="BC29" s="565">
        <v>95.53</v>
      </c>
      <c r="BD29" s="562">
        <v>99.029999999999959</v>
      </c>
      <c r="BE29" s="562">
        <v>16023.710000000005</v>
      </c>
      <c r="BF29" s="562">
        <f>$BG29-SUM($AT29:BE29)</f>
        <v>141676.5</v>
      </c>
      <c r="BG29" s="563">
        <v>158582</v>
      </c>
      <c r="BH29" s="566">
        <v>22.46</v>
      </c>
      <c r="BI29" s="567">
        <v>23.580000000000002</v>
      </c>
      <c r="BJ29" s="567">
        <v>24</v>
      </c>
      <c r="BK29" s="567">
        <v>24</v>
      </c>
      <c r="BL29" s="567">
        <v>23</v>
      </c>
      <c r="BM29" s="567">
        <v>24</v>
      </c>
      <c r="BN29" s="567">
        <v>24</v>
      </c>
      <c r="BO29" s="567">
        <v>24</v>
      </c>
      <c r="BP29" s="567">
        <v>24041</v>
      </c>
      <c r="BQ29" s="567">
        <v>24</v>
      </c>
      <c r="BR29" s="567">
        <v>3042</v>
      </c>
      <c r="BS29" s="567">
        <v>33</v>
      </c>
      <c r="BT29" s="567">
        <f t="shared" si="7"/>
        <v>-26991.040000000001</v>
      </c>
      <c r="BU29" s="563">
        <v>338</v>
      </c>
      <c r="BW29" s="540"/>
    </row>
    <row r="30" spans="1:75" ht="15" customHeight="1">
      <c r="A30" s="558"/>
      <c r="B30" s="551" t="s">
        <v>125</v>
      </c>
      <c r="C30" s="560" t="s">
        <v>410</v>
      </c>
      <c r="D30" s="561">
        <v>16971.060000000001</v>
      </c>
      <c r="E30" s="562">
        <v>1060133.92</v>
      </c>
      <c r="F30" s="562">
        <v>1012076.78</v>
      </c>
      <c r="G30" s="562">
        <v>1020080.1799999998</v>
      </c>
      <c r="H30" s="562">
        <v>1107420.57</v>
      </c>
      <c r="I30" s="562">
        <v>1090109.3600000001</v>
      </c>
      <c r="J30" s="562">
        <v>816142.65</v>
      </c>
      <c r="K30" s="562">
        <v>1060152.3799999999</v>
      </c>
      <c r="L30" s="562">
        <v>1328112.3000000003</v>
      </c>
      <c r="M30" s="562">
        <v>1099241.25</v>
      </c>
      <c r="N30" s="562">
        <v>-2243342.16</v>
      </c>
      <c r="O30" s="562">
        <v>1100378.9000000001</v>
      </c>
      <c r="P30" s="562">
        <v>-1029572.83</v>
      </c>
      <c r="Q30" s="563">
        <v>7437904.3600000013</v>
      </c>
      <c r="R30" s="561">
        <v>18576.919999999998</v>
      </c>
      <c r="S30" s="562">
        <v>943096.57</v>
      </c>
      <c r="T30" s="562">
        <v>1146341.1399999999</v>
      </c>
      <c r="U30" s="562">
        <v>1183349.0999999999</v>
      </c>
      <c r="V30" s="562">
        <v>1233940.7399999998</v>
      </c>
      <c r="W30" s="562">
        <v>1009788.4600000002</v>
      </c>
      <c r="X30" s="562">
        <v>1403324.8000000003</v>
      </c>
      <c r="Y30" s="562">
        <v>1414697.6300000004</v>
      </c>
      <c r="Z30" s="562">
        <v>95792.14</v>
      </c>
      <c r="AA30" s="562">
        <v>300954.53000000003</v>
      </c>
      <c r="AB30" s="562">
        <v>163315.89000000013</v>
      </c>
      <c r="AC30" s="562">
        <v>482478.88</v>
      </c>
      <c r="AD30" s="562">
        <v>-3308592.3199999994</v>
      </c>
      <c r="AE30" s="563">
        <v>6087064.4800000014</v>
      </c>
      <c r="AF30" s="561">
        <v>558774.53000000014</v>
      </c>
      <c r="AG30" s="562">
        <v>624453.64999999979</v>
      </c>
      <c r="AH30" s="562">
        <v>623165.28</v>
      </c>
      <c r="AI30" s="562">
        <v>914816.17</v>
      </c>
      <c r="AJ30" s="562">
        <v>877819.89000000164</v>
      </c>
      <c r="AK30" s="562">
        <v>689732.5200000006</v>
      </c>
      <c r="AL30" s="562">
        <v>764371.78000000014</v>
      </c>
      <c r="AM30" s="562">
        <v>805704.4299999997</v>
      </c>
      <c r="AN30" s="562">
        <v>799043.46000000008</v>
      </c>
      <c r="AO30" s="562">
        <v>756446.82999999926</v>
      </c>
      <c r="AP30" s="562">
        <v>654248.05999999959</v>
      </c>
      <c r="AQ30" s="562">
        <v>188373.5499999997</v>
      </c>
      <c r="AR30" s="565">
        <v>-2347212.2100000004</v>
      </c>
      <c r="AS30" s="564">
        <f t="shared" si="6"/>
        <v>5909737.9399999995</v>
      </c>
      <c r="AT30" s="561">
        <v>652621.03999999957</v>
      </c>
      <c r="AU30" s="562">
        <v>721217.62999999989</v>
      </c>
      <c r="AV30" s="562">
        <v>33081.390000000356</v>
      </c>
      <c r="AW30" s="562">
        <v>714938.67000000039</v>
      </c>
      <c r="AX30" s="562">
        <v>737562.57</v>
      </c>
      <c r="AY30" s="565">
        <v>1258382.3800000018</v>
      </c>
      <c r="AZ30" s="562">
        <v>1384374.3599999999</v>
      </c>
      <c r="BA30" s="562">
        <v>1429091.7500000014</v>
      </c>
      <c r="BB30" s="562">
        <v>1414970.7800000012</v>
      </c>
      <c r="BC30" s="565">
        <v>1463358.3200000015</v>
      </c>
      <c r="BD30" s="562">
        <v>-8167428.4999999981</v>
      </c>
      <c r="BE30" s="562">
        <v>674559.43000000087</v>
      </c>
      <c r="BF30" s="562">
        <f>$BG30-SUM($AT30:BE30)</f>
        <v>3178262.1799999913</v>
      </c>
      <c r="BG30" s="563">
        <v>5494992</v>
      </c>
      <c r="BH30" s="566">
        <v>0</v>
      </c>
      <c r="BI30" s="567">
        <v>270647.42</v>
      </c>
      <c r="BJ30" s="567">
        <v>289590</v>
      </c>
      <c r="BK30" s="567">
        <v>287760</v>
      </c>
      <c r="BL30" s="567">
        <v>297810</v>
      </c>
      <c r="BM30" s="567">
        <v>296089</v>
      </c>
      <c r="BN30" s="567">
        <v>300739</v>
      </c>
      <c r="BO30" s="567">
        <v>308810</v>
      </c>
      <c r="BP30" s="567">
        <v>315676</v>
      </c>
      <c r="BQ30" s="567">
        <v>306355</v>
      </c>
      <c r="BR30" s="567">
        <v>316694</v>
      </c>
      <c r="BS30" s="567">
        <v>303798.67</v>
      </c>
      <c r="BT30" s="567">
        <f t="shared" si="7"/>
        <v>2996738.91</v>
      </c>
      <c r="BU30" s="563">
        <v>6290708</v>
      </c>
      <c r="BW30" s="540"/>
    </row>
    <row r="31" spans="1:75">
      <c r="A31" s="558"/>
      <c r="B31" s="551" t="s">
        <v>124</v>
      </c>
      <c r="C31" s="560" t="s">
        <v>411</v>
      </c>
      <c r="D31" s="561">
        <v>3117.6000000000004</v>
      </c>
      <c r="E31" s="562">
        <v>335236.33</v>
      </c>
      <c r="F31" s="562">
        <v>310386.83999999997</v>
      </c>
      <c r="G31" s="562">
        <v>242395.81000000003</v>
      </c>
      <c r="H31" s="562">
        <v>295492.15000000002</v>
      </c>
      <c r="I31" s="562">
        <v>285805.29000000004</v>
      </c>
      <c r="J31" s="562">
        <v>288907.78999999998</v>
      </c>
      <c r="K31" s="562">
        <v>288294.83</v>
      </c>
      <c r="L31" s="562">
        <v>2544.1</v>
      </c>
      <c r="M31" s="562"/>
      <c r="N31" s="562"/>
      <c r="O31" s="562">
        <v>-548283.09</v>
      </c>
      <c r="P31" s="562">
        <v>-289.14999999999998</v>
      </c>
      <c r="Q31" s="563">
        <v>1503608.5000000005</v>
      </c>
      <c r="R31" s="561">
        <v>1.61</v>
      </c>
      <c r="S31" s="562">
        <v>359887.13</v>
      </c>
      <c r="T31" s="562">
        <v>417312.82</v>
      </c>
      <c r="U31" s="562">
        <v>403285.74999999994</v>
      </c>
      <c r="V31" s="562">
        <v>491507.77</v>
      </c>
      <c r="W31" s="562">
        <v>431392.83000000007</v>
      </c>
      <c r="X31" s="562">
        <v>198312.07999999996</v>
      </c>
      <c r="Y31" s="562">
        <v>-93827.590000000026</v>
      </c>
      <c r="Z31" s="562">
        <v>-58352.1</v>
      </c>
      <c r="AA31" s="562">
        <v>118221.94</v>
      </c>
      <c r="AB31" s="562">
        <v>-19478.650000000001</v>
      </c>
      <c r="AC31" s="562">
        <v>45420.73000000001</v>
      </c>
      <c r="AD31" s="562">
        <v>-759436.47</v>
      </c>
      <c r="AE31" s="563">
        <v>1534247.8500000003</v>
      </c>
      <c r="AF31" s="565">
        <v>0</v>
      </c>
      <c r="AG31" s="565">
        <v>0</v>
      </c>
      <c r="AH31" s="565">
        <v>0</v>
      </c>
      <c r="AI31" s="565">
        <v>0</v>
      </c>
      <c r="AJ31" s="562">
        <v>14759.1</v>
      </c>
      <c r="AK31" s="562">
        <v>0</v>
      </c>
      <c r="AL31" s="562"/>
      <c r="AM31" s="562"/>
      <c r="AN31" s="562"/>
      <c r="AO31" s="562"/>
      <c r="AP31" s="562"/>
      <c r="AQ31" s="562">
        <v>1456692.6899999997</v>
      </c>
      <c r="AR31" s="565">
        <v>-14759.29</v>
      </c>
      <c r="AS31" s="564">
        <f t="shared" si="6"/>
        <v>1456692.4999999998</v>
      </c>
      <c r="AT31" s="561">
        <v>104633.65000000001</v>
      </c>
      <c r="AU31" s="562">
        <v>115959.61000000003</v>
      </c>
      <c r="AV31" s="562">
        <v>115087.92000000001</v>
      </c>
      <c r="AW31" s="562">
        <v>118187.92</v>
      </c>
      <c r="AX31" s="562">
        <v>115940.62</v>
      </c>
      <c r="AY31" s="565">
        <v>506562.62</v>
      </c>
      <c r="AZ31" s="562">
        <v>507509.94999999995</v>
      </c>
      <c r="BA31" s="562">
        <v>501206.97999999992</v>
      </c>
      <c r="BB31" s="562">
        <v>513211.78000000009</v>
      </c>
      <c r="BC31" s="565">
        <v>517870.56</v>
      </c>
      <c r="BD31" s="562">
        <v>520876.80999999994</v>
      </c>
      <c r="BE31" s="562">
        <v>503733.27</v>
      </c>
      <c r="BF31" s="562">
        <f>$BG31-SUM($AT31:BE31)</f>
        <v>-2507270.69</v>
      </c>
      <c r="BG31" s="563">
        <v>1633511</v>
      </c>
      <c r="BH31" s="566">
        <v>0</v>
      </c>
      <c r="BI31" s="567">
        <v>503067.85</v>
      </c>
      <c r="BJ31" s="567">
        <v>501798</v>
      </c>
      <c r="BK31" s="567">
        <v>496349</v>
      </c>
      <c r="BL31" s="567">
        <v>57896</v>
      </c>
      <c r="BM31" s="567">
        <v>51371</v>
      </c>
      <c r="BN31" s="567">
        <v>-29949</v>
      </c>
      <c r="BO31" s="567">
        <v>46451</v>
      </c>
      <c r="BP31" s="567">
        <v>54107</v>
      </c>
      <c r="BQ31" s="567">
        <v>49459</v>
      </c>
      <c r="BR31" s="567">
        <v>6733</v>
      </c>
      <c r="BS31" s="567">
        <v>52403.12</v>
      </c>
      <c r="BT31" s="567">
        <f t="shared" si="7"/>
        <v>-238284.9700000002</v>
      </c>
      <c r="BU31" s="563">
        <v>1551401</v>
      </c>
      <c r="BW31" s="540"/>
    </row>
    <row r="32" spans="1:75">
      <c r="A32" s="558"/>
      <c r="B32" s="551" t="s">
        <v>555</v>
      </c>
      <c r="C32" s="560" t="s">
        <v>557</v>
      </c>
      <c r="D32" s="562">
        <v>0</v>
      </c>
      <c r="E32" s="562">
        <v>0</v>
      </c>
      <c r="F32" s="562">
        <v>0</v>
      </c>
      <c r="G32" s="562">
        <v>0</v>
      </c>
      <c r="H32" s="562">
        <v>0</v>
      </c>
      <c r="I32" s="562">
        <v>0</v>
      </c>
      <c r="J32" s="562">
        <v>0</v>
      </c>
      <c r="K32" s="562">
        <v>0</v>
      </c>
      <c r="L32" s="562">
        <v>0</v>
      </c>
      <c r="M32" s="562">
        <v>0</v>
      </c>
      <c r="N32" s="562">
        <v>0</v>
      </c>
      <c r="O32" s="562">
        <v>0</v>
      </c>
      <c r="P32" s="562">
        <v>0</v>
      </c>
      <c r="Q32" s="563">
        <v>0</v>
      </c>
      <c r="R32" s="565">
        <v>0</v>
      </c>
      <c r="S32" s="565">
        <v>0</v>
      </c>
      <c r="T32" s="565">
        <v>0</v>
      </c>
      <c r="U32" s="565">
        <v>0</v>
      </c>
      <c r="V32" s="565">
        <v>0</v>
      </c>
      <c r="W32" s="565">
        <v>0</v>
      </c>
      <c r="X32" s="565">
        <v>0</v>
      </c>
      <c r="Y32" s="565">
        <v>0</v>
      </c>
      <c r="Z32" s="565">
        <v>0</v>
      </c>
      <c r="AA32" s="565">
        <v>0</v>
      </c>
      <c r="AB32" s="565">
        <v>0</v>
      </c>
      <c r="AC32" s="565">
        <v>0</v>
      </c>
      <c r="AD32" s="565">
        <v>0</v>
      </c>
      <c r="AE32" s="563">
        <v>0</v>
      </c>
      <c r="AF32" s="565">
        <v>0</v>
      </c>
      <c r="AG32" s="565">
        <v>0</v>
      </c>
      <c r="AH32" s="565">
        <v>0</v>
      </c>
      <c r="AI32" s="565">
        <v>0</v>
      </c>
      <c r="AJ32" s="565">
        <v>0</v>
      </c>
      <c r="AK32" s="565">
        <v>0</v>
      </c>
      <c r="AL32" s="565">
        <v>0</v>
      </c>
      <c r="AM32" s="565">
        <v>0</v>
      </c>
      <c r="AN32" s="565">
        <v>0</v>
      </c>
      <c r="AO32" s="565">
        <v>0</v>
      </c>
      <c r="AP32" s="565">
        <v>0</v>
      </c>
      <c r="AQ32" s="565">
        <v>0</v>
      </c>
      <c r="AR32" s="565">
        <v>0</v>
      </c>
      <c r="AS32" s="564">
        <v>0</v>
      </c>
      <c r="AT32" s="561">
        <v>0</v>
      </c>
      <c r="AU32" s="562">
        <v>0</v>
      </c>
      <c r="AV32" s="562">
        <v>0</v>
      </c>
      <c r="AW32" s="562">
        <v>0</v>
      </c>
      <c r="AX32" s="562">
        <v>0</v>
      </c>
      <c r="AY32" s="562">
        <v>0</v>
      </c>
      <c r="AZ32" s="562">
        <v>0</v>
      </c>
      <c r="BA32" s="562">
        <v>0</v>
      </c>
      <c r="BB32" s="562">
        <v>0</v>
      </c>
      <c r="BC32" s="562">
        <v>0</v>
      </c>
      <c r="BD32" s="562">
        <v>0</v>
      </c>
      <c r="BE32" s="562">
        <v>0</v>
      </c>
      <c r="BF32" s="562">
        <v>0</v>
      </c>
      <c r="BG32" s="564">
        <v>0</v>
      </c>
      <c r="BH32" s="566">
        <v>0</v>
      </c>
      <c r="BI32" s="567">
        <v>0</v>
      </c>
      <c r="BJ32" s="567">
        <v>0</v>
      </c>
      <c r="BK32" s="567">
        <v>0</v>
      </c>
      <c r="BL32" s="567">
        <v>0</v>
      </c>
      <c r="BM32" s="567">
        <v>0</v>
      </c>
      <c r="BN32" s="567">
        <v>0</v>
      </c>
      <c r="BO32" s="567">
        <v>0</v>
      </c>
      <c r="BP32" s="567">
        <v>0</v>
      </c>
      <c r="BQ32" s="567">
        <v>0</v>
      </c>
      <c r="BR32" s="567">
        <v>156192</v>
      </c>
      <c r="BS32" s="567">
        <v>0</v>
      </c>
      <c r="BT32" s="567">
        <f t="shared" si="7"/>
        <v>517000</v>
      </c>
      <c r="BU32" s="563">
        <v>673192</v>
      </c>
      <c r="BW32" s="540"/>
    </row>
    <row r="33" spans="1:75" ht="15" customHeight="1">
      <c r="A33" s="558"/>
      <c r="B33" s="551" t="s">
        <v>64</v>
      </c>
      <c r="C33" s="560" t="s">
        <v>63</v>
      </c>
      <c r="D33" s="561">
        <v>155598.72000000003</v>
      </c>
      <c r="E33" s="562">
        <v>19923828.989999998</v>
      </c>
      <c r="F33" s="562">
        <v>19590835.919999998</v>
      </c>
      <c r="G33" s="562">
        <v>19884262.700000003</v>
      </c>
      <c r="H33" s="562">
        <v>20893277.600000001</v>
      </c>
      <c r="I33" s="562">
        <v>20992839.970000003</v>
      </c>
      <c r="J33" s="562">
        <v>18051080.809999991</v>
      </c>
      <c r="K33" s="562">
        <v>19564603.569999997</v>
      </c>
      <c r="L33" s="562">
        <v>23913851.639999997</v>
      </c>
      <c r="M33" s="562">
        <v>18046764.389999982</v>
      </c>
      <c r="N33" s="562">
        <v>6610223.9000000246</v>
      </c>
      <c r="O33" s="562">
        <v>372907.06999999989</v>
      </c>
      <c r="P33" s="562">
        <v>4093204.8300000061</v>
      </c>
      <c r="Q33" s="563">
        <v>192093280.10999998</v>
      </c>
      <c r="R33" s="561">
        <v>49.94</v>
      </c>
      <c r="S33" s="562">
        <v>17884115.089999996</v>
      </c>
      <c r="T33" s="562">
        <v>18725689.609999999</v>
      </c>
      <c r="U33" s="562">
        <v>25479191.120000001</v>
      </c>
      <c r="V33" s="562">
        <v>19694690.410000004</v>
      </c>
      <c r="W33" s="562">
        <v>18419782.840000007</v>
      </c>
      <c r="X33" s="562">
        <v>25611457.659999996</v>
      </c>
      <c r="Y33" s="562">
        <v>32515929.679999996</v>
      </c>
      <c r="Z33" s="562">
        <v>-5146769.5299999863</v>
      </c>
      <c r="AA33" s="562">
        <v>158017.78</v>
      </c>
      <c r="AB33" s="562">
        <v>-1986511.6699999957</v>
      </c>
      <c r="AC33" s="562">
        <v>-31881922.409999993</v>
      </c>
      <c r="AD33" s="562">
        <v>-27535394.770000003</v>
      </c>
      <c r="AE33" s="563">
        <v>91938325.75000006</v>
      </c>
      <c r="AF33" s="561">
        <v>7175198.1400000043</v>
      </c>
      <c r="AG33" s="562">
        <v>8234105.5800000001</v>
      </c>
      <c r="AH33" s="562">
        <v>8484580.4900000058</v>
      </c>
      <c r="AI33" s="562">
        <v>11941210</v>
      </c>
      <c r="AJ33" s="562">
        <v>11185380.900000002</v>
      </c>
      <c r="AK33" s="562">
        <v>9576868.7900000028</v>
      </c>
      <c r="AL33" s="562">
        <v>10515148.720000012</v>
      </c>
      <c r="AM33" s="562">
        <v>10510769.549999999</v>
      </c>
      <c r="AN33" s="562">
        <v>10786491.499999998</v>
      </c>
      <c r="AO33" s="562">
        <v>10522319.639999999</v>
      </c>
      <c r="AP33" s="562">
        <v>8846019.1600000001</v>
      </c>
      <c r="AQ33" s="562">
        <v>15136187.940000005</v>
      </c>
      <c r="AR33" s="565">
        <v>-11917989.050000004</v>
      </c>
      <c r="AS33" s="564">
        <f t="shared" si="6"/>
        <v>110996291.36000001</v>
      </c>
      <c r="AT33" s="561">
        <v>5762562.6799999997</v>
      </c>
      <c r="AU33" s="562">
        <v>6245998.7299999995</v>
      </c>
      <c r="AV33" s="562">
        <v>6415285.2000000002</v>
      </c>
      <c r="AW33" s="562">
        <v>6266629.0800000001</v>
      </c>
      <c r="AX33" s="562">
        <v>6599541.120000002</v>
      </c>
      <c r="AY33" s="565">
        <v>-14147.340000000107</v>
      </c>
      <c r="AZ33" s="562">
        <v>24952088.059999984</v>
      </c>
      <c r="BA33" s="562">
        <v>26429885.649999984</v>
      </c>
      <c r="BB33" s="562">
        <v>25864471.450000018</v>
      </c>
      <c r="BC33" s="565">
        <v>27015056.130000014</v>
      </c>
      <c r="BD33" s="562">
        <v>27163197.400000006</v>
      </c>
      <c r="BE33" s="562">
        <v>13909313.849999988</v>
      </c>
      <c r="BF33" s="562">
        <f>$BG33-SUM($AT33:BE33)</f>
        <v>-58183385.01000002</v>
      </c>
      <c r="BG33" s="563">
        <v>118426497</v>
      </c>
      <c r="BH33" s="566">
        <v>0</v>
      </c>
      <c r="BI33" s="567">
        <v>23884895.41</v>
      </c>
      <c r="BJ33" s="567">
        <v>25633599</v>
      </c>
      <c r="BK33" s="567">
        <v>25448659</v>
      </c>
      <c r="BL33" s="567">
        <v>26408403</v>
      </c>
      <c r="BM33" s="567">
        <v>26221273</v>
      </c>
      <c r="BN33" s="567">
        <v>26690306</v>
      </c>
      <c r="BO33" s="567">
        <v>27451255</v>
      </c>
      <c r="BP33" s="567">
        <v>28063807</v>
      </c>
      <c r="BQ33" s="567">
        <v>27221728</v>
      </c>
      <c r="BR33" s="567">
        <v>1199946</v>
      </c>
      <c r="BS33" s="567">
        <v>-3552</v>
      </c>
      <c r="BT33" s="567">
        <f t="shared" si="7"/>
        <v>-120179480.41</v>
      </c>
      <c r="BU33" s="563">
        <v>118040839</v>
      </c>
      <c r="BW33" s="540"/>
    </row>
    <row r="34" spans="1:75">
      <c r="A34" s="558"/>
      <c r="B34" s="551" t="s">
        <v>74</v>
      </c>
      <c r="C34" s="560" t="s">
        <v>73</v>
      </c>
      <c r="D34" s="561">
        <v>0</v>
      </c>
      <c r="E34" s="562">
        <v>621.64</v>
      </c>
      <c r="F34" s="562">
        <v>3595.9</v>
      </c>
      <c r="G34" s="562">
        <v>2757</v>
      </c>
      <c r="H34" s="562">
        <v>19742.599999999999</v>
      </c>
      <c r="I34" s="562">
        <v>-11550.72</v>
      </c>
      <c r="J34" s="562"/>
      <c r="K34" s="562"/>
      <c r="L34" s="562"/>
      <c r="M34" s="562"/>
      <c r="N34" s="562"/>
      <c r="O34" s="562">
        <v>2293329.0000000005</v>
      </c>
      <c r="P34" s="562">
        <v>2591568.9999999995</v>
      </c>
      <c r="Q34" s="563">
        <v>4900064.42</v>
      </c>
      <c r="R34" s="562">
        <v>0</v>
      </c>
      <c r="S34" s="562">
        <v>0</v>
      </c>
      <c r="T34" s="562">
        <v>0</v>
      </c>
      <c r="U34" s="562">
        <v>0</v>
      </c>
      <c r="V34" s="562">
        <v>0</v>
      </c>
      <c r="W34" s="562">
        <v>0</v>
      </c>
      <c r="X34" s="562">
        <v>0</v>
      </c>
      <c r="Y34" s="562">
        <v>0</v>
      </c>
      <c r="Z34" s="562">
        <v>0</v>
      </c>
      <c r="AA34" s="562">
        <v>0</v>
      </c>
      <c r="AB34" s="562">
        <v>0</v>
      </c>
      <c r="AC34" s="562">
        <v>0</v>
      </c>
      <c r="AD34" s="562">
        <v>3699470.0000000005</v>
      </c>
      <c r="AE34" s="563">
        <v>3699470.0000000005</v>
      </c>
      <c r="AF34" s="561"/>
      <c r="AG34" s="562">
        <v>0</v>
      </c>
      <c r="AH34" s="562"/>
      <c r="AI34" s="562"/>
      <c r="AJ34" s="562"/>
      <c r="AK34" s="562"/>
      <c r="AL34" s="562"/>
      <c r="AM34" s="562"/>
      <c r="AN34" s="562"/>
      <c r="AO34" s="562"/>
      <c r="AP34" s="562"/>
      <c r="AQ34" s="562">
        <v>5746019</v>
      </c>
      <c r="AR34" s="565">
        <v>0</v>
      </c>
      <c r="AS34" s="564">
        <f t="shared" si="6"/>
        <v>5746019</v>
      </c>
      <c r="AT34" s="561"/>
      <c r="AU34" s="562"/>
      <c r="AV34" s="562"/>
      <c r="AW34" s="562">
        <v>0</v>
      </c>
      <c r="AX34" s="562">
        <v>0</v>
      </c>
      <c r="AY34" s="562">
        <v>0</v>
      </c>
      <c r="AZ34" s="562">
        <v>0</v>
      </c>
      <c r="BA34" s="562">
        <v>0</v>
      </c>
      <c r="BB34" s="562">
        <v>0</v>
      </c>
      <c r="BC34" s="562">
        <v>0</v>
      </c>
      <c r="BD34" s="562">
        <v>0</v>
      </c>
      <c r="BE34" s="562">
        <v>0</v>
      </c>
      <c r="BF34" s="562">
        <f>$BG34-SUM($AT34:BE34)</f>
        <v>138745</v>
      </c>
      <c r="BG34" s="563">
        <v>138745</v>
      </c>
      <c r="BH34" s="566">
        <v>0</v>
      </c>
      <c r="BI34" s="567">
        <v>0</v>
      </c>
      <c r="BJ34" s="567">
        <v>0</v>
      </c>
      <c r="BK34" s="567">
        <v>0</v>
      </c>
      <c r="BL34" s="567">
        <v>0</v>
      </c>
      <c r="BM34" s="567">
        <v>0</v>
      </c>
      <c r="BN34" s="567">
        <v>0</v>
      </c>
      <c r="BO34" s="567">
        <v>0</v>
      </c>
      <c r="BP34" s="567">
        <v>0</v>
      </c>
      <c r="BQ34" s="567">
        <v>0</v>
      </c>
      <c r="BR34" s="567">
        <v>0</v>
      </c>
      <c r="BS34" s="567">
        <v>0</v>
      </c>
      <c r="BT34" s="567">
        <f t="shared" si="7"/>
        <v>138745</v>
      </c>
      <c r="BU34" s="563">
        <v>138745</v>
      </c>
      <c r="BW34" s="540"/>
    </row>
    <row r="35" spans="1:75">
      <c r="A35" s="558"/>
      <c r="B35" s="551" t="s">
        <v>76</v>
      </c>
      <c r="C35" s="560" t="s">
        <v>75</v>
      </c>
      <c r="D35" s="561">
        <v>16774.169999999998</v>
      </c>
      <c r="E35" s="562">
        <v>2275550.41</v>
      </c>
      <c r="F35" s="562">
        <v>1792462.63</v>
      </c>
      <c r="G35" s="562">
        <v>1954627.84</v>
      </c>
      <c r="H35" s="562">
        <v>2276142.7199999997</v>
      </c>
      <c r="I35" s="562">
        <v>2038839.4100000001</v>
      </c>
      <c r="J35" s="562">
        <v>-467296.48999999941</v>
      </c>
      <c r="K35" s="562">
        <v>1506236.76</v>
      </c>
      <c r="L35" s="562">
        <v>3281348.96</v>
      </c>
      <c r="M35" s="562">
        <v>780464.72</v>
      </c>
      <c r="N35" s="562">
        <v>5802187.620000001</v>
      </c>
      <c r="O35" s="562">
        <v>167654.18000000005</v>
      </c>
      <c r="P35" s="562">
        <v>2467032.8100000005</v>
      </c>
      <c r="Q35" s="563">
        <v>23892025.740000002</v>
      </c>
      <c r="R35" s="561"/>
      <c r="S35" s="562">
        <v>697208.73</v>
      </c>
      <c r="T35" s="562">
        <v>650240.72000000009</v>
      </c>
      <c r="U35" s="562">
        <v>2077662.71</v>
      </c>
      <c r="V35" s="562">
        <v>969719.58000000007</v>
      </c>
      <c r="W35" s="562">
        <v>744796.01</v>
      </c>
      <c r="X35" s="562">
        <v>3362944.34</v>
      </c>
      <c r="Y35" s="562">
        <v>6326766.3499999987</v>
      </c>
      <c r="Z35" s="562">
        <v>-711314.50000000128</v>
      </c>
      <c r="AA35" s="562">
        <v>1192587.6200000001</v>
      </c>
      <c r="AB35" s="562">
        <v>4343368.7800000012</v>
      </c>
      <c r="AC35" s="562">
        <v>1244404.0399999998</v>
      </c>
      <c r="AD35" s="562">
        <v>-2448850.1499999994</v>
      </c>
      <c r="AE35" s="563">
        <v>18449534.229999997</v>
      </c>
      <c r="AF35" s="561">
        <v>926106.42999999982</v>
      </c>
      <c r="AG35" s="562">
        <v>1065233.6500000001</v>
      </c>
      <c r="AH35" s="562">
        <v>1097582.9900000012</v>
      </c>
      <c r="AI35" s="562">
        <v>3377020.6399999992</v>
      </c>
      <c r="AJ35" s="562">
        <v>1451155.7399999993</v>
      </c>
      <c r="AK35" s="562">
        <v>1238874.4500000007</v>
      </c>
      <c r="AL35" s="562">
        <v>1362902.5499999996</v>
      </c>
      <c r="AM35" s="562">
        <v>1361746.1799999997</v>
      </c>
      <c r="AN35" s="562">
        <v>1397065.9799999993</v>
      </c>
      <c r="AO35" s="562">
        <v>1363696.44</v>
      </c>
      <c r="AP35" s="562">
        <v>1145986.0899999999</v>
      </c>
      <c r="AQ35" s="562">
        <v>5635695.6099999994</v>
      </c>
      <c r="AR35" s="565">
        <v>-1639777.72000002</v>
      </c>
      <c r="AS35" s="564">
        <f t="shared" si="6"/>
        <v>19783289.029999975</v>
      </c>
      <c r="AT35" s="561">
        <v>1014822.1900000003</v>
      </c>
      <c r="AU35" s="562">
        <v>1146672.1399999994</v>
      </c>
      <c r="AV35" s="562">
        <v>1174299.18</v>
      </c>
      <c r="AW35" s="562">
        <v>1186328.26</v>
      </c>
      <c r="AX35" s="562">
        <v>1169842.6400000004</v>
      </c>
      <c r="AY35" s="562">
        <v>1147897.1600000008</v>
      </c>
      <c r="AZ35" s="562">
        <v>9966356.0300000012</v>
      </c>
      <c r="BA35" s="562">
        <v>10390704.859999994</v>
      </c>
      <c r="BB35" s="562">
        <v>10360748.73</v>
      </c>
      <c r="BC35" s="565">
        <v>473860.68000000005</v>
      </c>
      <c r="BD35" s="562">
        <v>-56.38</v>
      </c>
      <c r="BE35" s="562">
        <v>-2756083.0500000045</v>
      </c>
      <c r="BF35" s="562">
        <f>$BG35-SUM($AT35:BE35)</f>
        <v>-15070532.43999999</v>
      </c>
      <c r="BG35" s="563">
        <v>20204860</v>
      </c>
      <c r="BH35" s="566">
        <v>0</v>
      </c>
      <c r="BI35" s="567">
        <v>10262343.67</v>
      </c>
      <c r="BJ35" s="567">
        <v>11013702</v>
      </c>
      <c r="BK35" s="567">
        <v>10934317</v>
      </c>
      <c r="BL35" s="567">
        <v>11346700</v>
      </c>
      <c r="BM35" s="567">
        <v>380878</v>
      </c>
      <c r="BN35" s="567">
        <v>-75</v>
      </c>
      <c r="BO35" s="567">
        <v>226235</v>
      </c>
      <c r="BP35" s="567">
        <v>-3738</v>
      </c>
      <c r="BQ35" s="567">
        <v>0</v>
      </c>
      <c r="BR35" s="567">
        <v>2609220</v>
      </c>
      <c r="BS35" s="567">
        <v>-967</v>
      </c>
      <c r="BT35" s="567">
        <f t="shared" si="7"/>
        <v>-26728767.670000002</v>
      </c>
      <c r="BU35" s="563">
        <v>20039848</v>
      </c>
      <c r="BW35" s="540"/>
    </row>
    <row r="36" spans="1:75">
      <c r="A36" s="558"/>
      <c r="B36" s="551" t="s">
        <v>78</v>
      </c>
      <c r="C36" s="560" t="s">
        <v>77</v>
      </c>
      <c r="D36" s="561">
        <v>2467564.2200000007</v>
      </c>
      <c r="E36" s="562">
        <v>3424649.34</v>
      </c>
      <c r="F36" s="562">
        <v>3273340.0399999996</v>
      </c>
      <c r="G36" s="562">
        <v>3234940.83</v>
      </c>
      <c r="H36" s="562">
        <v>3514813.4099999992</v>
      </c>
      <c r="I36" s="562">
        <v>3172344.34</v>
      </c>
      <c r="J36" s="562">
        <v>3104085.629999999</v>
      </c>
      <c r="K36" s="562">
        <v>3135089.08</v>
      </c>
      <c r="L36" s="562">
        <v>3860389.21</v>
      </c>
      <c r="M36" s="562">
        <v>3430488.5000000047</v>
      </c>
      <c r="N36" s="562">
        <v>3064474.849886395</v>
      </c>
      <c r="O36" s="562">
        <v>3358291.7201135997</v>
      </c>
      <c r="P36" s="562">
        <v>1568308.3361403998</v>
      </c>
      <c r="Q36" s="563">
        <v>40608779.506140396</v>
      </c>
      <c r="R36" s="561">
        <v>2536068.5700000003</v>
      </c>
      <c r="S36" s="562">
        <v>2797490.8299999991</v>
      </c>
      <c r="T36" s="562">
        <v>3288247.9</v>
      </c>
      <c r="U36" s="562">
        <v>3438564.2999999989</v>
      </c>
      <c r="V36" s="562">
        <v>3632689.04</v>
      </c>
      <c r="W36" s="562">
        <v>3129018.0199999991</v>
      </c>
      <c r="X36" s="562">
        <v>4138253.44</v>
      </c>
      <c r="Y36" s="562">
        <v>4278633.2899999982</v>
      </c>
      <c r="Z36" s="562">
        <v>3620802.0300000007</v>
      </c>
      <c r="AA36" s="562">
        <v>3630364.0900000026</v>
      </c>
      <c r="AB36" s="562">
        <v>2846393.2399999998</v>
      </c>
      <c r="AC36" s="562">
        <v>3934090.7200000011</v>
      </c>
      <c r="AD36" s="562">
        <v>-614065.34941839974</v>
      </c>
      <c r="AE36" s="563">
        <v>40656550.120581597</v>
      </c>
      <c r="AF36" s="561">
        <v>2512196.3899999978</v>
      </c>
      <c r="AG36" s="562">
        <v>2885590.48</v>
      </c>
      <c r="AH36" s="562">
        <v>3395336.309999994</v>
      </c>
      <c r="AI36" s="562">
        <v>4167820.5599999945</v>
      </c>
      <c r="AJ36" s="562">
        <v>3504176.87</v>
      </c>
      <c r="AK36" s="562">
        <v>4103338.9500000011</v>
      </c>
      <c r="AL36" s="562">
        <v>4135123.61</v>
      </c>
      <c r="AM36" s="562">
        <v>4409488.7099999981</v>
      </c>
      <c r="AN36" s="562">
        <v>4501697.0099999988</v>
      </c>
      <c r="AO36" s="562">
        <v>4508379.93</v>
      </c>
      <c r="AP36" s="562">
        <v>4419681.5999999968</v>
      </c>
      <c r="AQ36" s="562">
        <v>4157654.38</v>
      </c>
      <c r="AR36" s="565">
        <v>-80254.629999981335</v>
      </c>
      <c r="AS36" s="564">
        <f t="shared" si="6"/>
        <v>46620230.170000002</v>
      </c>
      <c r="AT36" s="561">
        <v>3092002.040000001</v>
      </c>
      <c r="AU36" s="562">
        <v>3427528.12</v>
      </c>
      <c r="AV36" s="562">
        <v>3527208.3299999991</v>
      </c>
      <c r="AW36" s="562">
        <v>3524605.1999999997</v>
      </c>
      <c r="AX36" s="562">
        <v>3557360.9499999997</v>
      </c>
      <c r="AY36" s="562">
        <v>3427936.8999999953</v>
      </c>
      <c r="AZ36" s="562">
        <v>3421746.0000000005</v>
      </c>
      <c r="BA36" s="562">
        <v>3533854.3000000026</v>
      </c>
      <c r="BB36" s="562">
        <v>3454987.129999999</v>
      </c>
      <c r="BC36" s="565">
        <v>3618237.9499999974</v>
      </c>
      <c r="BD36" s="562">
        <v>3642309.3899999978</v>
      </c>
      <c r="BE36" s="562">
        <v>8357388.2799999993</v>
      </c>
      <c r="BF36" s="562">
        <f>$BG36-SUM($AT36:BE36)</f>
        <v>2613681.4100000039</v>
      </c>
      <c r="BG36" s="563">
        <v>49198846</v>
      </c>
      <c r="BH36" s="566">
        <v>3174795.2700000005</v>
      </c>
      <c r="BI36" s="567">
        <v>3513963.4299999997</v>
      </c>
      <c r="BJ36" s="567">
        <v>3633146</v>
      </c>
      <c r="BK36" s="567">
        <v>3598351</v>
      </c>
      <c r="BL36" s="567">
        <v>3702733</v>
      </c>
      <c r="BM36" s="567">
        <v>3764058</v>
      </c>
      <c r="BN36" s="567">
        <v>3742121</v>
      </c>
      <c r="BO36" s="567">
        <v>3893649</v>
      </c>
      <c r="BP36" s="567">
        <v>7318288</v>
      </c>
      <c r="BQ36" s="567">
        <v>3818746</v>
      </c>
      <c r="BR36" s="567">
        <v>4248797</v>
      </c>
      <c r="BS36" s="567">
        <v>5012709.4999999963</v>
      </c>
      <c r="BT36" s="567">
        <f t="shared" si="7"/>
        <v>2612238.799999997</v>
      </c>
      <c r="BU36" s="563">
        <v>52033596</v>
      </c>
      <c r="BW36" s="540"/>
    </row>
    <row r="37" spans="1:75">
      <c r="A37" s="558"/>
      <c r="B37" s="551" t="s">
        <v>140</v>
      </c>
      <c r="C37" s="560" t="s">
        <v>412</v>
      </c>
      <c r="D37" s="561">
        <v>484896.03000000009</v>
      </c>
      <c r="E37" s="562">
        <v>674516.19</v>
      </c>
      <c r="F37" s="562">
        <v>645002.03</v>
      </c>
      <c r="G37" s="562">
        <v>460606.13</v>
      </c>
      <c r="H37" s="562">
        <v>693790.20999999985</v>
      </c>
      <c r="I37" s="562">
        <v>397183.63000000006</v>
      </c>
      <c r="J37" s="562">
        <v>-426289.8</v>
      </c>
      <c r="K37" s="562">
        <v>367381.23000000004</v>
      </c>
      <c r="L37" s="562">
        <v>448729.73999999993</v>
      </c>
      <c r="M37" s="562">
        <v>58375.669999999853</v>
      </c>
      <c r="N37" s="562">
        <v>301665.41722880013</v>
      </c>
      <c r="O37" s="562">
        <v>365254.90277120005</v>
      </c>
      <c r="P37" s="562">
        <v>-37254.157603200045</v>
      </c>
      <c r="Q37" s="563">
        <v>4433857.2223968003</v>
      </c>
      <c r="R37" s="561">
        <v>278986.11000000004</v>
      </c>
      <c r="S37" s="562">
        <v>305519.99999999994</v>
      </c>
      <c r="T37" s="562">
        <v>404236.58</v>
      </c>
      <c r="U37" s="562">
        <v>338770.20999999996</v>
      </c>
      <c r="V37" s="562">
        <v>462210.35</v>
      </c>
      <c r="W37" s="562">
        <v>306677.81000000006</v>
      </c>
      <c r="X37" s="562">
        <v>395949.46000000014</v>
      </c>
      <c r="Y37" s="562">
        <v>216290.21999999994</v>
      </c>
      <c r="Z37" s="562">
        <v>148027.28999999989</v>
      </c>
      <c r="AA37" s="562">
        <v>380568.9599999999</v>
      </c>
      <c r="AB37" s="562">
        <v>341345.96999999962</v>
      </c>
      <c r="AC37" s="562">
        <v>504728.62999999971</v>
      </c>
      <c r="AD37" s="562">
        <v>399859.66742719919</v>
      </c>
      <c r="AE37" s="563">
        <v>4483171.2574271988</v>
      </c>
      <c r="AF37" s="562">
        <v>320043.59000000003</v>
      </c>
      <c r="AG37" s="562">
        <v>368283.4099999998</v>
      </c>
      <c r="AH37" s="562">
        <v>467686.00999999978</v>
      </c>
      <c r="AI37" s="562">
        <v>532303.32999999973</v>
      </c>
      <c r="AJ37" s="562">
        <v>415697.61000000034</v>
      </c>
      <c r="AK37" s="562">
        <v>525899.80000000016</v>
      </c>
      <c r="AL37" s="562">
        <v>529292.87000000011</v>
      </c>
      <c r="AM37" s="562">
        <v>567073.47000000009</v>
      </c>
      <c r="AN37" s="562">
        <v>572951.75000000081</v>
      </c>
      <c r="AO37" s="562">
        <v>574952.88999999966</v>
      </c>
      <c r="AP37" s="562">
        <v>605892.8400000002</v>
      </c>
      <c r="AQ37" s="562">
        <v>534543.17000000004</v>
      </c>
      <c r="AR37" s="565">
        <v>-1517352.7500000012</v>
      </c>
      <c r="AS37" s="564">
        <f t="shared" si="6"/>
        <v>4497267.9899999993</v>
      </c>
      <c r="AT37" s="561">
        <v>368112.35999999993</v>
      </c>
      <c r="AU37" s="562">
        <v>415975.39999999985</v>
      </c>
      <c r="AV37" s="562">
        <v>425754.33999999979</v>
      </c>
      <c r="AW37" s="562">
        <v>430184.96000000031</v>
      </c>
      <c r="AX37" s="562">
        <v>424377.47000000026</v>
      </c>
      <c r="AY37" s="562">
        <v>416257.61000000004</v>
      </c>
      <c r="AZ37" s="562">
        <v>415467.70999999979</v>
      </c>
      <c r="BA37" s="562">
        <v>421529.15000000008</v>
      </c>
      <c r="BB37" s="562">
        <v>420017.68000000005</v>
      </c>
      <c r="BC37" s="565">
        <v>432646.75000000006</v>
      </c>
      <c r="BD37" s="562">
        <v>433588.20999999967</v>
      </c>
      <c r="BE37" s="562">
        <v>-416143.48000000033</v>
      </c>
      <c r="BF37" s="562">
        <f>$BG37-SUM($AT37:BE37)</f>
        <v>-1404686.1599999992</v>
      </c>
      <c r="BG37" s="563">
        <v>2783082</v>
      </c>
      <c r="BH37" s="566">
        <v>195069.05</v>
      </c>
      <c r="BI37" s="567">
        <v>216037.34</v>
      </c>
      <c r="BJ37" s="567">
        <v>223370</v>
      </c>
      <c r="BK37" s="567">
        <v>221208</v>
      </c>
      <c r="BL37" s="567">
        <v>227764</v>
      </c>
      <c r="BM37" s="567">
        <v>231475</v>
      </c>
      <c r="BN37" s="567">
        <v>230161</v>
      </c>
      <c r="BO37" s="567">
        <v>239601</v>
      </c>
      <c r="BP37" s="567">
        <v>535710</v>
      </c>
      <c r="BQ37" s="567">
        <v>234948</v>
      </c>
      <c r="BR37" s="567">
        <v>523501</v>
      </c>
      <c r="BS37" s="567">
        <v>308258.63999999996</v>
      </c>
      <c r="BT37" s="567">
        <f t="shared" si="7"/>
        <v>-186269.03000000026</v>
      </c>
      <c r="BU37" s="563">
        <v>3200834</v>
      </c>
      <c r="BW37" s="540"/>
    </row>
    <row r="38" spans="1:75">
      <c r="A38" s="558"/>
      <c r="B38" s="551" t="s">
        <v>477</v>
      </c>
      <c r="C38" s="560" t="s">
        <v>475</v>
      </c>
      <c r="D38" s="561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3">
        <v>0</v>
      </c>
      <c r="R38" s="562">
        <v>0</v>
      </c>
      <c r="S38" s="562">
        <v>0</v>
      </c>
      <c r="T38" s="562">
        <v>0</v>
      </c>
      <c r="U38" s="562">
        <v>0</v>
      </c>
      <c r="V38" s="562">
        <v>0</v>
      </c>
      <c r="W38" s="562">
        <v>0</v>
      </c>
      <c r="X38" s="562">
        <v>0</v>
      </c>
      <c r="Y38" s="562">
        <v>0</v>
      </c>
      <c r="Z38" s="562">
        <v>0</v>
      </c>
      <c r="AA38" s="562">
        <v>0</v>
      </c>
      <c r="AB38" s="562">
        <v>0</v>
      </c>
      <c r="AC38" s="562">
        <v>0</v>
      </c>
      <c r="AD38" s="562">
        <v>0</v>
      </c>
      <c r="AE38" s="563">
        <v>0</v>
      </c>
      <c r="AF38" s="562">
        <v>0</v>
      </c>
      <c r="AG38" s="562">
        <v>0</v>
      </c>
      <c r="AH38" s="562">
        <v>0</v>
      </c>
      <c r="AI38" s="562">
        <v>0</v>
      </c>
      <c r="AJ38" s="562">
        <v>0</v>
      </c>
      <c r="AK38" s="562">
        <v>0</v>
      </c>
      <c r="AL38" s="562">
        <v>0</v>
      </c>
      <c r="AM38" s="562">
        <v>0</v>
      </c>
      <c r="AN38" s="562">
        <v>0</v>
      </c>
      <c r="AO38" s="562">
        <v>0</v>
      </c>
      <c r="AP38" s="562">
        <v>0</v>
      </c>
      <c r="AQ38" s="562">
        <v>0</v>
      </c>
      <c r="AR38" s="565">
        <v>8.8817841970012523E-16</v>
      </c>
      <c r="AS38" s="564">
        <f t="shared" si="6"/>
        <v>8.8817841970012523E-16</v>
      </c>
      <c r="AT38" s="561">
        <v>0</v>
      </c>
      <c r="AU38" s="562">
        <v>0</v>
      </c>
      <c r="AV38" s="562">
        <v>0</v>
      </c>
      <c r="AW38" s="562">
        <v>0</v>
      </c>
      <c r="AX38" s="562">
        <v>0</v>
      </c>
      <c r="AY38" s="562">
        <v>0</v>
      </c>
      <c r="AZ38" s="562">
        <v>0</v>
      </c>
      <c r="BA38" s="562">
        <v>0</v>
      </c>
      <c r="BB38" s="562">
        <v>0</v>
      </c>
      <c r="BC38" s="562">
        <v>0</v>
      </c>
      <c r="BD38" s="562">
        <v>0</v>
      </c>
      <c r="BE38" s="562">
        <v>0</v>
      </c>
      <c r="BF38" s="562">
        <f>$BG38-SUM($AT38:BE38)</f>
        <v>0</v>
      </c>
      <c r="BG38" s="563">
        <v>0</v>
      </c>
      <c r="BH38" s="566">
        <v>0</v>
      </c>
      <c r="BI38" s="567">
        <v>0</v>
      </c>
      <c r="BJ38" s="567">
        <f>($BU38-SUM($BH38:BI38))/10</f>
        <v>0</v>
      </c>
      <c r="BK38" s="567">
        <f>($BU38-SUM($BH38:BJ38))/9</f>
        <v>0</v>
      </c>
      <c r="BL38" s="567">
        <f>($BU38-SUM($BH38:BK38))/8</f>
        <v>0</v>
      </c>
      <c r="BM38" s="567">
        <f>($BU38-SUM($BH38:BL38))/7</f>
        <v>0</v>
      </c>
      <c r="BN38" s="567">
        <f>($BU38-SUM($BH38:BM38))/6</f>
        <v>0</v>
      </c>
      <c r="BO38" s="567">
        <f>($BU38-SUM($BH38:BN38))/5</f>
        <v>0</v>
      </c>
      <c r="BP38" s="567">
        <f>($BU38-SUM($BH38:BO38))/4</f>
        <v>0</v>
      </c>
      <c r="BQ38" s="567">
        <f>(BU38-(BH38+BI38+BJ38+BK38+BL38+BM38+BN38+BO38+BP38))/3</f>
        <v>0</v>
      </c>
      <c r="BR38" s="567">
        <v>0</v>
      </c>
      <c r="BS38" s="567">
        <v>0</v>
      </c>
      <c r="BT38" s="567">
        <f t="shared" si="7"/>
        <v>0</v>
      </c>
      <c r="BU38" s="563">
        <v>0</v>
      </c>
      <c r="BW38" s="540"/>
    </row>
    <row r="39" spans="1:75">
      <c r="A39" s="558"/>
      <c r="B39" s="551" t="s">
        <v>82</v>
      </c>
      <c r="C39" s="560" t="s">
        <v>413</v>
      </c>
      <c r="D39" s="561">
        <v>335251.59999999992</v>
      </c>
      <c r="E39" s="562">
        <v>465321.69</v>
      </c>
      <c r="F39" s="562">
        <v>444975.04000000004</v>
      </c>
      <c r="G39" s="562">
        <v>512953.97000000003</v>
      </c>
      <c r="H39" s="562">
        <v>478874.48</v>
      </c>
      <c r="I39" s="562">
        <v>524026.51999999996</v>
      </c>
      <c r="J39" s="562">
        <v>594201.30999999971</v>
      </c>
      <c r="K39" s="562">
        <v>451281.86</v>
      </c>
      <c r="L39" s="562">
        <v>552782.6399999999</v>
      </c>
      <c r="M39" s="562">
        <v>270375.05000000016</v>
      </c>
      <c r="N39" s="562">
        <v>408499.14635719964</v>
      </c>
      <c r="O39" s="562">
        <v>445367.49364280008</v>
      </c>
      <c r="P39" s="562">
        <v>52114.857836700161</v>
      </c>
      <c r="Q39" s="563">
        <v>5536025.6578367008</v>
      </c>
      <c r="R39" s="561">
        <v>336757.09</v>
      </c>
      <c r="S39" s="562">
        <v>379877.88000000006</v>
      </c>
      <c r="T39" s="562">
        <v>456990.77000000008</v>
      </c>
      <c r="U39" s="562">
        <v>461651.30999999994</v>
      </c>
      <c r="V39" s="562">
        <v>506668.86000000004</v>
      </c>
      <c r="W39" s="562">
        <v>383226.7</v>
      </c>
      <c r="X39" s="562">
        <v>513744.10000000003</v>
      </c>
      <c r="Y39" s="562">
        <v>445390.65</v>
      </c>
      <c r="Z39" s="562">
        <v>527315.44000000064</v>
      </c>
      <c r="AA39" s="562">
        <v>530550.85000000021</v>
      </c>
      <c r="AB39" s="562">
        <v>535522.21000000252</v>
      </c>
      <c r="AC39" s="562">
        <v>715739.85000000044</v>
      </c>
      <c r="AD39" s="562">
        <v>118391.30143179967</v>
      </c>
      <c r="AE39" s="563">
        <v>5911827.0114318039</v>
      </c>
      <c r="AF39" s="562">
        <v>389806.64000000013</v>
      </c>
      <c r="AG39" s="562">
        <v>447804.08000000077</v>
      </c>
      <c r="AH39" s="562">
        <v>529969.0900000002</v>
      </c>
      <c r="AI39" s="562">
        <v>646859.71999999986</v>
      </c>
      <c r="AJ39" s="562">
        <v>541027.53000000049</v>
      </c>
      <c r="AK39" s="562">
        <v>637021.29000000027</v>
      </c>
      <c r="AL39" s="562">
        <v>641901.41999999958</v>
      </c>
      <c r="AM39" s="562">
        <v>684731.09999999939</v>
      </c>
      <c r="AN39" s="562">
        <v>698525.23999999953</v>
      </c>
      <c r="AO39" s="562">
        <v>699472.87000000023</v>
      </c>
      <c r="AP39" s="562">
        <v>689564.86999999976</v>
      </c>
      <c r="AQ39" s="562">
        <v>645599.96000000148</v>
      </c>
      <c r="AR39" s="565">
        <v>116699.81000000001</v>
      </c>
      <c r="AS39" s="564">
        <f t="shared" si="6"/>
        <v>7368983.620000001</v>
      </c>
      <c r="AT39" s="561">
        <v>571830.52</v>
      </c>
      <c r="AU39" s="562">
        <v>635345.74000000034</v>
      </c>
      <c r="AV39" s="562">
        <v>653398.19000000018</v>
      </c>
      <c r="AW39" s="562">
        <v>653666.81999999937</v>
      </c>
      <c r="AX39" s="562">
        <v>658389.34000000113</v>
      </c>
      <c r="AY39" s="562">
        <v>635411.88</v>
      </c>
      <c r="AZ39" s="562">
        <v>634327.68999999971</v>
      </c>
      <c r="BA39" s="562">
        <v>653952.86000000092</v>
      </c>
      <c r="BB39" s="562">
        <v>640457.35000000033</v>
      </c>
      <c r="BC39" s="565">
        <v>669750.37000000081</v>
      </c>
      <c r="BD39" s="562">
        <v>673693.87000000011</v>
      </c>
      <c r="BE39" s="562">
        <v>951248.36000000034</v>
      </c>
      <c r="BF39" s="562">
        <f>$BG39-SUM($AT39:BE39)</f>
        <v>102685.00999999605</v>
      </c>
      <c r="BG39" s="563">
        <v>8134158</v>
      </c>
      <c r="BH39" s="566">
        <v>470075.18999999994</v>
      </c>
      <c r="BI39" s="567">
        <v>520306.4800000001</v>
      </c>
      <c r="BJ39" s="567">
        <v>537959</v>
      </c>
      <c r="BK39" s="567">
        <v>532803</v>
      </c>
      <c r="BL39" s="567">
        <v>548273</v>
      </c>
      <c r="BM39" s="567">
        <v>557348</v>
      </c>
      <c r="BN39" s="567">
        <v>554103</v>
      </c>
      <c r="BO39" s="567">
        <v>576555</v>
      </c>
      <c r="BP39" s="567">
        <v>1080945</v>
      </c>
      <c r="BQ39" s="567">
        <v>565458</v>
      </c>
      <c r="BR39" s="567">
        <v>1218714</v>
      </c>
      <c r="BS39" s="567">
        <v>742259</v>
      </c>
      <c r="BT39" s="567">
        <f t="shared" si="7"/>
        <v>-200065.66999999993</v>
      </c>
      <c r="BU39" s="563">
        <v>7704733</v>
      </c>
      <c r="BW39" s="540"/>
    </row>
    <row r="40" spans="1:75">
      <c r="A40" s="558"/>
      <c r="B40" s="605" t="s">
        <v>86</v>
      </c>
      <c r="C40" s="560" t="s">
        <v>85</v>
      </c>
      <c r="D40" s="561">
        <v>0</v>
      </c>
      <c r="E40" s="562">
        <v>0</v>
      </c>
      <c r="F40" s="562">
        <v>0</v>
      </c>
      <c r="G40" s="562">
        <v>0</v>
      </c>
      <c r="H40" s="562">
        <v>0</v>
      </c>
      <c r="I40" s="562">
        <v>0</v>
      </c>
      <c r="J40" s="562">
        <v>0</v>
      </c>
      <c r="K40" s="562">
        <v>0</v>
      </c>
      <c r="L40" s="562">
        <v>0</v>
      </c>
      <c r="M40" s="562">
        <v>0</v>
      </c>
      <c r="N40" s="562">
        <v>0</v>
      </c>
      <c r="O40" s="562">
        <v>0</v>
      </c>
      <c r="P40" s="562">
        <v>0</v>
      </c>
      <c r="Q40" s="563">
        <v>0</v>
      </c>
      <c r="R40" s="562">
        <v>0</v>
      </c>
      <c r="S40" s="562">
        <v>0</v>
      </c>
      <c r="T40" s="562">
        <v>0</v>
      </c>
      <c r="U40" s="562">
        <v>0</v>
      </c>
      <c r="V40" s="562">
        <v>0</v>
      </c>
      <c r="W40" s="562">
        <v>0</v>
      </c>
      <c r="X40" s="562">
        <v>0</v>
      </c>
      <c r="Y40" s="562">
        <v>0</v>
      </c>
      <c r="Z40" s="562">
        <v>0</v>
      </c>
      <c r="AA40" s="562">
        <v>0</v>
      </c>
      <c r="AB40" s="562">
        <v>0</v>
      </c>
      <c r="AC40" s="562">
        <v>0</v>
      </c>
      <c r="AD40" s="562">
        <v>0</v>
      </c>
      <c r="AE40" s="563">
        <v>0</v>
      </c>
      <c r="AF40" s="562">
        <v>0</v>
      </c>
      <c r="AG40" s="562">
        <v>0</v>
      </c>
      <c r="AH40" s="562">
        <v>0</v>
      </c>
      <c r="AI40" s="562">
        <v>0</v>
      </c>
      <c r="AJ40" s="562">
        <v>0</v>
      </c>
      <c r="AK40" s="562">
        <v>0</v>
      </c>
      <c r="AL40" s="562">
        <v>0</v>
      </c>
      <c r="AM40" s="562">
        <v>0</v>
      </c>
      <c r="AN40" s="562">
        <v>0</v>
      </c>
      <c r="AO40" s="562">
        <v>0</v>
      </c>
      <c r="AP40" s="562">
        <v>0</v>
      </c>
      <c r="AQ40" s="562">
        <v>0</v>
      </c>
      <c r="AR40" s="565">
        <v>-4.5474735088646412E-13</v>
      </c>
      <c r="AS40" s="564">
        <f t="shared" si="6"/>
        <v>-4.5474735088646412E-13</v>
      </c>
      <c r="AT40" s="561">
        <v>0</v>
      </c>
      <c r="AU40" s="562">
        <v>0</v>
      </c>
      <c r="AV40" s="562">
        <v>0</v>
      </c>
      <c r="AW40" s="562">
        <v>0</v>
      </c>
      <c r="AX40" s="562">
        <v>0</v>
      </c>
      <c r="AY40" s="562">
        <v>0</v>
      </c>
      <c r="AZ40" s="562">
        <v>0</v>
      </c>
      <c r="BA40" s="562">
        <v>0</v>
      </c>
      <c r="BB40" s="562">
        <v>0</v>
      </c>
      <c r="BC40" s="562">
        <v>0</v>
      </c>
      <c r="BD40" s="562">
        <v>0</v>
      </c>
      <c r="BE40" s="562">
        <v>48.590000000000025</v>
      </c>
      <c r="BF40" s="562">
        <f>$BG40-SUM($AT40:BE40)</f>
        <v>-48.590000000000025</v>
      </c>
      <c r="BG40" s="563">
        <v>0</v>
      </c>
      <c r="BH40" s="566">
        <v>0</v>
      </c>
      <c r="BI40" s="567">
        <v>339.31</v>
      </c>
      <c r="BJ40" s="567">
        <v>343</v>
      </c>
      <c r="BK40" s="567">
        <v>347</v>
      </c>
      <c r="BL40" s="567">
        <v>341</v>
      </c>
      <c r="BM40" s="567">
        <v>348</v>
      </c>
      <c r="BN40" s="567">
        <v>339</v>
      </c>
      <c r="BO40" s="567">
        <v>336</v>
      </c>
      <c r="BP40" s="567">
        <v>0</v>
      </c>
      <c r="BQ40" s="567">
        <v>0</v>
      </c>
      <c r="BR40" s="567">
        <v>-1038</v>
      </c>
      <c r="BS40" s="567">
        <v>0</v>
      </c>
      <c r="BT40" s="567">
        <f t="shared" si="7"/>
        <v>-1355.31</v>
      </c>
      <c r="BU40" s="563">
        <v>0</v>
      </c>
      <c r="BW40" s="540"/>
    </row>
    <row r="41" spans="1:75">
      <c r="A41" s="558"/>
      <c r="B41" s="551" t="s">
        <v>90</v>
      </c>
      <c r="C41" s="560" t="s">
        <v>89</v>
      </c>
      <c r="D41" s="561">
        <v>0</v>
      </c>
      <c r="E41" s="562">
        <v>1.78</v>
      </c>
      <c r="F41" s="562">
        <v>10.97</v>
      </c>
      <c r="G41" s="562">
        <v>7.82</v>
      </c>
      <c r="H41" s="562">
        <v>53.849999999999994</v>
      </c>
      <c r="I41" s="562">
        <v>-31.350000000000005</v>
      </c>
      <c r="J41" s="562">
        <v>10.73</v>
      </c>
      <c r="K41" s="562">
        <v>14.600000000000001</v>
      </c>
      <c r="L41" s="562">
        <v>8.18</v>
      </c>
      <c r="M41" s="562">
        <v>0</v>
      </c>
      <c r="N41" s="562">
        <v>56.57</v>
      </c>
      <c r="O41" s="562">
        <v>-15.18</v>
      </c>
      <c r="P41" s="562">
        <v>20831.869999999992</v>
      </c>
      <c r="Q41" s="563">
        <v>20950.169999999991</v>
      </c>
      <c r="R41" s="562">
        <v>0</v>
      </c>
      <c r="S41" s="562">
        <v>0</v>
      </c>
      <c r="T41" s="562">
        <v>0</v>
      </c>
      <c r="U41" s="562">
        <v>0</v>
      </c>
      <c r="V41" s="562">
        <v>0</v>
      </c>
      <c r="W41" s="562">
        <v>0</v>
      </c>
      <c r="X41" s="562">
        <v>0</v>
      </c>
      <c r="Y41" s="562">
        <v>0</v>
      </c>
      <c r="Z41" s="562">
        <v>0</v>
      </c>
      <c r="AA41" s="562">
        <v>0</v>
      </c>
      <c r="AB41" s="562">
        <v>0</v>
      </c>
      <c r="AC41" s="562">
        <v>0</v>
      </c>
      <c r="AD41" s="562">
        <v>0</v>
      </c>
      <c r="AE41" s="563">
        <v>0</v>
      </c>
      <c r="AF41" s="562">
        <v>1980.22</v>
      </c>
      <c r="AG41" s="562">
        <v>2012.08</v>
      </c>
      <c r="AH41" s="562">
        <v>2079.4100000000003</v>
      </c>
      <c r="AI41" s="562">
        <v>2498.12</v>
      </c>
      <c r="AJ41" s="562">
        <v>2297.27</v>
      </c>
      <c r="AK41" s="562">
        <v>2349.1599999999994</v>
      </c>
      <c r="AL41" s="562">
        <v>2297.8899999999994</v>
      </c>
      <c r="AM41" s="562">
        <v>2359.4</v>
      </c>
      <c r="AN41" s="562">
        <v>2391.34</v>
      </c>
      <c r="AO41" s="562">
        <v>2313.6200000000008</v>
      </c>
      <c r="AP41" s="562">
        <v>1994.3399999999997</v>
      </c>
      <c r="AQ41" s="562">
        <v>2040.0999999999997</v>
      </c>
      <c r="AR41" s="565">
        <v>-95.600000000001273</v>
      </c>
      <c r="AS41" s="564">
        <f t="shared" si="6"/>
        <v>26517.35</v>
      </c>
      <c r="AT41" s="561">
        <v>1697.9700000000003</v>
      </c>
      <c r="AU41" s="562">
        <v>1783.8300000000002</v>
      </c>
      <c r="AV41" s="562">
        <v>1844.8</v>
      </c>
      <c r="AW41" s="562">
        <v>1857.8799999999999</v>
      </c>
      <c r="AX41" s="562">
        <v>1811.1800000000003</v>
      </c>
      <c r="AY41" s="562">
        <v>1813.98</v>
      </c>
      <c r="AZ41" s="562">
        <v>0</v>
      </c>
      <c r="BA41" s="562">
        <v>0</v>
      </c>
      <c r="BB41" s="562">
        <v>0</v>
      </c>
      <c r="BC41" s="562">
        <v>0</v>
      </c>
      <c r="BD41" s="562">
        <v>0</v>
      </c>
      <c r="BE41" s="562">
        <v>2144.9099999999971</v>
      </c>
      <c r="BF41" s="562">
        <f>$BG41-SUM($AT41:BE41)</f>
        <v>17147.450000000004</v>
      </c>
      <c r="BG41" s="563">
        <v>30102</v>
      </c>
      <c r="BH41" s="566">
        <v>2221.88</v>
      </c>
      <c r="BI41" s="567">
        <v>2388.63</v>
      </c>
      <c r="BJ41" s="567">
        <v>2405</v>
      </c>
      <c r="BK41" s="567">
        <v>2429</v>
      </c>
      <c r="BL41" s="567">
        <v>2387</v>
      </c>
      <c r="BM41" s="567">
        <v>2434</v>
      </c>
      <c r="BN41" s="567">
        <v>2370</v>
      </c>
      <c r="BO41" s="567">
        <v>2354</v>
      </c>
      <c r="BP41" s="567">
        <v>180</v>
      </c>
      <c r="BQ41" s="567">
        <v>2355</v>
      </c>
      <c r="BR41" s="567">
        <v>2382</v>
      </c>
      <c r="BS41" s="567">
        <v>2449</v>
      </c>
      <c r="BT41" s="567">
        <f t="shared" si="7"/>
        <v>9731.489999999998</v>
      </c>
      <c r="BU41" s="563">
        <v>36087</v>
      </c>
      <c r="BW41" s="540"/>
    </row>
    <row r="42" spans="1:75">
      <c r="A42" s="558"/>
      <c r="B42" s="551" t="s">
        <v>149</v>
      </c>
      <c r="C42" s="560" t="s">
        <v>148</v>
      </c>
      <c r="D42" s="561"/>
      <c r="E42" s="562">
        <v>135.37</v>
      </c>
      <c r="F42" s="562">
        <v>783.07</v>
      </c>
      <c r="G42" s="562">
        <v>600.39</v>
      </c>
      <c r="H42" s="562">
        <v>4299.3099999999995</v>
      </c>
      <c r="I42" s="562">
        <v>-2515.38</v>
      </c>
      <c r="J42" s="562">
        <v>847.18000000000006</v>
      </c>
      <c r="K42" s="562">
        <v>1146.79</v>
      </c>
      <c r="L42" s="562">
        <v>644.41</v>
      </c>
      <c r="M42" s="562">
        <v>0</v>
      </c>
      <c r="N42" s="562">
        <v>4486.3599999999997</v>
      </c>
      <c r="O42" s="562">
        <v>-1219.8499999999999</v>
      </c>
      <c r="P42" s="562">
        <v>2151282.0700000003</v>
      </c>
      <c r="Q42" s="563">
        <v>2160489.7200000002</v>
      </c>
      <c r="R42" s="562">
        <v>0</v>
      </c>
      <c r="S42" s="562">
        <v>0</v>
      </c>
      <c r="T42" s="562">
        <v>0</v>
      </c>
      <c r="U42" s="562">
        <v>0</v>
      </c>
      <c r="V42" s="562">
        <v>0</v>
      </c>
      <c r="W42" s="562">
        <v>0</v>
      </c>
      <c r="X42" s="562">
        <v>0</v>
      </c>
      <c r="Y42" s="562">
        <v>0</v>
      </c>
      <c r="Z42" s="562">
        <v>0</v>
      </c>
      <c r="AA42" s="562">
        <v>0</v>
      </c>
      <c r="AB42" s="562">
        <v>0</v>
      </c>
      <c r="AC42" s="562">
        <v>0</v>
      </c>
      <c r="AD42" s="562">
        <v>19980930</v>
      </c>
      <c r="AE42" s="563">
        <v>19980930</v>
      </c>
      <c r="AF42" s="562">
        <v>0</v>
      </c>
      <c r="AG42" s="562">
        <v>0</v>
      </c>
      <c r="AH42" s="562">
        <v>0</v>
      </c>
      <c r="AI42" s="562">
        <v>0</v>
      </c>
      <c r="AJ42" s="562">
        <v>0</v>
      </c>
      <c r="AK42" s="562">
        <v>0</v>
      </c>
      <c r="AL42" s="562">
        <v>0</v>
      </c>
      <c r="AM42" s="562">
        <v>0</v>
      </c>
      <c r="AN42" s="562">
        <v>0</v>
      </c>
      <c r="AO42" s="562">
        <v>0</v>
      </c>
      <c r="AP42" s="562">
        <v>0</v>
      </c>
      <c r="AQ42" s="562">
        <v>0</v>
      </c>
      <c r="AR42" s="562">
        <v>0</v>
      </c>
      <c r="AS42" s="564">
        <f t="shared" si="6"/>
        <v>0</v>
      </c>
      <c r="AT42" s="561">
        <v>0</v>
      </c>
      <c r="AU42" s="562">
        <v>0</v>
      </c>
      <c r="AV42" s="562">
        <v>0</v>
      </c>
      <c r="AW42" s="562">
        <v>0</v>
      </c>
      <c r="AX42" s="562">
        <v>0</v>
      </c>
      <c r="AY42" s="562">
        <v>0</v>
      </c>
      <c r="AZ42" s="562">
        <v>0</v>
      </c>
      <c r="BA42" s="562">
        <v>0</v>
      </c>
      <c r="BB42" s="562">
        <v>0</v>
      </c>
      <c r="BC42" s="562">
        <v>0</v>
      </c>
      <c r="BD42" s="562">
        <v>0</v>
      </c>
      <c r="BE42" s="562">
        <v>0</v>
      </c>
      <c r="BF42" s="562">
        <f>$BG42-SUM($AT42:BE42)</f>
        <v>0</v>
      </c>
      <c r="BG42" s="563">
        <v>0</v>
      </c>
      <c r="BH42" s="566">
        <v>0</v>
      </c>
      <c r="BI42" s="567">
        <v>0</v>
      </c>
      <c r="BJ42" s="567">
        <f>($BU42-SUM($BH42:BI42))/10</f>
        <v>0</v>
      </c>
      <c r="BK42" s="567">
        <f>($BU42-SUM($BH42:BJ42))/9</f>
        <v>0</v>
      </c>
      <c r="BL42" s="567">
        <f>($BU42-SUM($BH42:BK42))/8</f>
        <v>0</v>
      </c>
      <c r="BM42" s="567">
        <f>($BU42-SUM($BH42:BL42))/7</f>
        <v>0</v>
      </c>
      <c r="BN42" s="567">
        <f>($BU42-SUM($BH42:BM42))/6</f>
        <v>0</v>
      </c>
      <c r="BO42" s="567">
        <f>($BU42-SUM($BH42:BN42))/5</f>
        <v>0</v>
      </c>
      <c r="BP42" s="567">
        <f>($BU42-SUM($BH42:BO42))/4</f>
        <v>0</v>
      </c>
      <c r="BQ42" s="567">
        <f>(BU42-(BH42+BI42+BJ42+BK42+BL42+BM42+BN42+BO42+BP42))/3</f>
        <v>0</v>
      </c>
      <c r="BR42" s="567">
        <f>(BU42-(BH42+BI42+BJ42+BK42+BL42+BM42+BN42+BO42+BP42+BQ42))/2</f>
        <v>0</v>
      </c>
      <c r="BS42" s="567">
        <f t="shared" ref="BS42" si="11">BU42-BH42-BI42-BJ42-BK42-BL42-BM42-BN42-BO42-BP42-BQ42-BR42</f>
        <v>0</v>
      </c>
      <c r="BT42" s="567">
        <f t="shared" si="7"/>
        <v>0</v>
      </c>
      <c r="BU42" s="563">
        <v>0</v>
      </c>
      <c r="BW42" s="540"/>
    </row>
    <row r="43" spans="1:75" ht="15" customHeight="1">
      <c r="A43" s="558"/>
      <c r="B43" s="551" t="s">
        <v>132</v>
      </c>
      <c r="C43" s="560" t="s">
        <v>118</v>
      </c>
      <c r="D43" s="561">
        <v>368987.25</v>
      </c>
      <c r="E43" s="562">
        <v>512600.02000000008</v>
      </c>
      <c r="F43" s="562">
        <v>489345.11999999994</v>
      </c>
      <c r="G43" s="562">
        <v>427814.68999999989</v>
      </c>
      <c r="H43" s="562">
        <v>522245.44999999995</v>
      </c>
      <c r="I43" s="562">
        <v>405595.46999999991</v>
      </c>
      <c r="J43" s="562">
        <v>93208.620000000141</v>
      </c>
      <c r="K43" s="562">
        <v>376055.0400000001</v>
      </c>
      <c r="L43" s="562">
        <v>462265.79</v>
      </c>
      <c r="M43" s="562">
        <v>321998.73</v>
      </c>
      <c r="N43" s="562">
        <v>382734.2382956004</v>
      </c>
      <c r="O43" s="562">
        <v>421779.5617044</v>
      </c>
      <c r="P43" s="562">
        <v>-188290.7513758998</v>
      </c>
      <c r="Q43" s="563">
        <v>4596339.2286240999</v>
      </c>
      <c r="R43" s="561">
        <v>318916.33999999997</v>
      </c>
      <c r="S43" s="562">
        <v>259712.81000000003</v>
      </c>
      <c r="T43" s="562">
        <v>318588.36</v>
      </c>
      <c r="U43" s="562">
        <v>300419.98000000004</v>
      </c>
      <c r="V43" s="562">
        <v>357592.87999999995</v>
      </c>
      <c r="W43" s="562">
        <v>347019.14</v>
      </c>
      <c r="X43" s="562">
        <v>438052.05</v>
      </c>
      <c r="Y43" s="562">
        <v>417543.50999999978</v>
      </c>
      <c r="Z43" s="562">
        <v>600894.68999999959</v>
      </c>
      <c r="AA43" s="562">
        <v>417570.03000000014</v>
      </c>
      <c r="AB43" s="562">
        <v>497240.64999999944</v>
      </c>
      <c r="AC43" s="562">
        <v>431587.36000000004</v>
      </c>
      <c r="AD43" s="562">
        <v>316227.88545139949</v>
      </c>
      <c r="AE43" s="563">
        <v>5021365.6854513986</v>
      </c>
      <c r="AF43" s="561">
        <v>308521.17000000016</v>
      </c>
      <c r="AG43" s="562">
        <v>354590.25000000006</v>
      </c>
      <c r="AH43" s="562">
        <v>423142.9200000001</v>
      </c>
      <c r="AI43" s="562">
        <v>512070.69000000012</v>
      </c>
      <c r="AJ43" s="562">
        <v>425030.56000000017</v>
      </c>
      <c r="AK43" s="562">
        <v>504463.94000000029</v>
      </c>
      <c r="AL43" s="562">
        <v>508228.95999999996</v>
      </c>
      <c r="AM43" s="562">
        <v>542422.55000000028</v>
      </c>
      <c r="AN43" s="562">
        <v>552665.80999999924</v>
      </c>
      <c r="AO43" s="562">
        <v>555657.97999999986</v>
      </c>
      <c r="AP43" s="562">
        <v>551070.97999999986</v>
      </c>
      <c r="AQ43" s="562">
        <v>511440.33</v>
      </c>
      <c r="AR43" s="565">
        <v>802158.89999999688</v>
      </c>
      <c r="AS43" s="564">
        <f t="shared" si="6"/>
        <v>6551465.0399999963</v>
      </c>
      <c r="AT43" s="561">
        <v>430646.37999999995</v>
      </c>
      <c r="AU43" s="562">
        <v>476634.62999999989</v>
      </c>
      <c r="AV43" s="562">
        <v>490715.86000000004</v>
      </c>
      <c r="AW43" s="562">
        <v>489874.16999999993</v>
      </c>
      <c r="AX43" s="562">
        <v>495481.85999999964</v>
      </c>
      <c r="AY43" s="565">
        <v>476660.46</v>
      </c>
      <c r="AZ43" s="562">
        <v>475812.2100000002</v>
      </c>
      <c r="BA43" s="562">
        <v>492158.87000000005</v>
      </c>
      <c r="BB43" s="562">
        <v>480301.82</v>
      </c>
      <c r="BC43" s="565">
        <v>503768.76000000036</v>
      </c>
      <c r="BD43" s="562">
        <v>507312.97999999975</v>
      </c>
      <c r="BE43" s="562">
        <v>1219974.2700000003</v>
      </c>
      <c r="BF43" s="562">
        <f>$BG43-SUM($AT43:BE43)</f>
        <v>670694.72999999952</v>
      </c>
      <c r="BG43" s="563">
        <v>7210037</v>
      </c>
      <c r="BH43" s="566">
        <v>439710.68</v>
      </c>
      <c r="BI43" s="567">
        <v>486701</v>
      </c>
      <c r="BJ43" s="567">
        <v>503213</v>
      </c>
      <c r="BK43" s="567">
        <v>498386</v>
      </c>
      <c r="BL43" s="567">
        <v>512866</v>
      </c>
      <c r="BM43" s="567">
        <v>521351</v>
      </c>
      <c r="BN43" s="567">
        <v>518320</v>
      </c>
      <c r="BO43" s="567">
        <v>539329</v>
      </c>
      <c r="BP43" s="567">
        <v>1104349</v>
      </c>
      <c r="BQ43" s="567">
        <v>528943</v>
      </c>
      <c r="BR43" s="567">
        <v>481798</v>
      </c>
      <c r="BS43" s="567">
        <v>694320</v>
      </c>
      <c r="BT43" s="567">
        <f t="shared" si="7"/>
        <v>378029.3200000003</v>
      </c>
      <c r="BU43" s="563">
        <v>7207316</v>
      </c>
      <c r="BW43" s="540"/>
    </row>
    <row r="44" spans="1:75" s="604" customFormat="1">
      <c r="A44" s="596" t="s">
        <v>414</v>
      </c>
      <c r="B44" s="597"/>
      <c r="C44" s="598"/>
      <c r="D44" s="599">
        <v>3849556.0500000012</v>
      </c>
      <c r="E44" s="564">
        <v>28673056.920000002</v>
      </c>
      <c r="F44" s="564">
        <v>27563421.279999994</v>
      </c>
      <c r="G44" s="564">
        <v>27756891.880000003</v>
      </c>
      <c r="H44" s="564">
        <v>29807670.740000002</v>
      </c>
      <c r="I44" s="564">
        <v>28911993.370000001</v>
      </c>
      <c r="J44" s="564">
        <v>22076493.149999991</v>
      </c>
      <c r="K44" s="564">
        <v>26751588.16</v>
      </c>
      <c r="L44" s="564">
        <v>33851256.75</v>
      </c>
      <c r="M44" s="564">
        <v>24003191.499999985</v>
      </c>
      <c r="N44" s="564">
        <v>14337228.491768019</v>
      </c>
      <c r="O44" s="564">
        <v>7986222.3182320017</v>
      </c>
      <c r="P44" s="564">
        <v>11721968.824998006</v>
      </c>
      <c r="Q44" s="563">
        <v>287290539.43499798</v>
      </c>
      <c r="R44" s="599">
        <v>3497851.1399999997</v>
      </c>
      <c r="S44" s="564">
        <v>23628110.729999993</v>
      </c>
      <c r="T44" s="564">
        <v>25414682.339999992</v>
      </c>
      <c r="U44" s="564">
        <v>33681810.759999998</v>
      </c>
      <c r="V44" s="564">
        <v>27356968.030000005</v>
      </c>
      <c r="W44" s="564">
        <v>24794213.950000007</v>
      </c>
      <c r="X44" s="564">
        <v>36087823.709999993</v>
      </c>
      <c r="Y44" s="564">
        <v>45561670.769999996</v>
      </c>
      <c r="Z44" s="564">
        <v>-829444.70999998634</v>
      </c>
      <c r="AA44" s="564">
        <v>6758494.030000004</v>
      </c>
      <c r="AB44" s="564">
        <v>6804452.1700000074</v>
      </c>
      <c r="AC44" s="564">
        <v>-24500344.449999992</v>
      </c>
      <c r="AD44" s="564">
        <v>-10203855.785107996</v>
      </c>
      <c r="AE44" s="563">
        <v>198052432.68489203</v>
      </c>
      <c r="AF44" s="564">
        <f t="shared" ref="AF44:AQ44" si="12">SUM(AF29:AF43)</f>
        <v>12219690.690000005</v>
      </c>
      <c r="AG44" s="564">
        <f t="shared" si="12"/>
        <v>14013155.010000002</v>
      </c>
      <c r="AH44" s="564">
        <f t="shared" si="12"/>
        <v>15059232.830000002</v>
      </c>
      <c r="AI44" s="564">
        <f t="shared" si="12"/>
        <v>22139525.669999991</v>
      </c>
      <c r="AJ44" s="564">
        <f t="shared" si="12"/>
        <v>18455945.070000004</v>
      </c>
      <c r="AK44" s="564">
        <f t="shared" si="12"/>
        <v>17322743.420000009</v>
      </c>
      <c r="AL44" s="564">
        <f t="shared" si="12"/>
        <v>18503829.650000013</v>
      </c>
      <c r="AM44" s="564">
        <f t="shared" si="12"/>
        <v>18931748.149999991</v>
      </c>
      <c r="AN44" s="564">
        <f t="shared" si="12"/>
        <v>19359440.919999994</v>
      </c>
      <c r="AO44" s="564">
        <f t="shared" si="12"/>
        <v>19031808.91</v>
      </c>
      <c r="AP44" s="564">
        <f t="shared" si="12"/>
        <v>16961017.119999994</v>
      </c>
      <c r="AQ44" s="564">
        <f t="shared" si="12"/>
        <v>34058978.330000006</v>
      </c>
      <c r="AR44" s="564">
        <f>SUM(AR29:AR43)</f>
        <v>-16885528.280000012</v>
      </c>
      <c r="AS44" s="564">
        <f>SUM(AS29:AS43)</f>
        <v>209171587.49000001</v>
      </c>
      <c r="AT44" s="599">
        <f>SUM(AT29:AT43)</f>
        <v>11999014.080000002</v>
      </c>
      <c r="AU44" s="564">
        <f>SUM(AU29:AU43)</f>
        <v>13187183.649999999</v>
      </c>
      <c r="AV44" s="564">
        <v>12836752.039999999</v>
      </c>
      <c r="AW44" s="564">
        <v>13386334.25</v>
      </c>
      <c r="AX44" s="564">
        <f t="shared" ref="AX44:BF44" si="13">SUM(AX29:AX43)</f>
        <v>13760406.020000003</v>
      </c>
      <c r="AY44" s="564">
        <f t="shared" si="13"/>
        <v>7856843.6799999988</v>
      </c>
      <c r="AZ44" s="564">
        <f t="shared" si="13"/>
        <v>41757751.189999983</v>
      </c>
      <c r="BA44" s="564">
        <f t="shared" si="13"/>
        <v>43852479.909999982</v>
      </c>
      <c r="BB44" s="564">
        <v>43149231.790000014</v>
      </c>
      <c r="BC44" s="564">
        <v>34694645.050000004</v>
      </c>
      <c r="BD44" s="564">
        <f t="shared" si="13"/>
        <v>24773592.81000001</v>
      </c>
      <c r="BE44" s="564">
        <f>SUM(BE29:BE43)</f>
        <v>22462208.139999982</v>
      </c>
      <c r="BF44" s="564">
        <f t="shared" si="13"/>
        <v>-70303030.610000014</v>
      </c>
      <c r="BG44" s="563">
        <f>SUM(BG29:BG43)</f>
        <v>213413412</v>
      </c>
      <c r="BH44" s="600">
        <f>SUM(BH29:BH43)</f>
        <v>4281894.53</v>
      </c>
      <c r="BI44" s="601">
        <f t="shared" ref="BI44:BS44" si="14">SUM(BI29:BI43)</f>
        <v>39660714.120000005</v>
      </c>
      <c r="BJ44" s="601">
        <f t="shared" si="14"/>
        <v>42339149</v>
      </c>
      <c r="BK44" s="601">
        <f t="shared" si="14"/>
        <v>42020633</v>
      </c>
      <c r="BL44" s="601">
        <f t="shared" si="14"/>
        <v>43105196</v>
      </c>
      <c r="BM44" s="601">
        <f t="shared" si="14"/>
        <v>32026649</v>
      </c>
      <c r="BN44" s="601">
        <f t="shared" si="14"/>
        <v>32008459</v>
      </c>
      <c r="BO44" s="601">
        <f t="shared" si="14"/>
        <v>33284599</v>
      </c>
      <c r="BP44" s="601">
        <f t="shared" si="14"/>
        <v>38493365</v>
      </c>
      <c r="BQ44" s="601">
        <f t="shared" si="14"/>
        <v>32728016</v>
      </c>
      <c r="BR44" s="601">
        <f t="shared" si="14"/>
        <v>10765981</v>
      </c>
      <c r="BS44" s="601">
        <f t="shared" si="14"/>
        <v>7111711.929999996</v>
      </c>
      <c r="BT44" s="601">
        <f t="shared" si="7"/>
        <v>-140908730.57999998</v>
      </c>
      <c r="BU44" s="602">
        <f>SUM(BU29:BU43)</f>
        <v>216917637</v>
      </c>
      <c r="BV44" s="539"/>
      <c r="BW44" s="603"/>
    </row>
    <row r="45" spans="1:75" ht="15" customHeight="1">
      <c r="A45" s="558" t="s">
        <v>34</v>
      </c>
      <c r="B45" s="551" t="s">
        <v>93</v>
      </c>
      <c r="C45" s="560" t="s">
        <v>92</v>
      </c>
      <c r="D45" s="561">
        <v>465134.66</v>
      </c>
      <c r="E45" s="562">
        <v>640648.57999999996</v>
      </c>
      <c r="F45" s="562">
        <v>601361.65</v>
      </c>
      <c r="G45" s="562">
        <v>625843.30000000005</v>
      </c>
      <c r="H45" s="562">
        <v>647027.43000000005</v>
      </c>
      <c r="I45" s="562">
        <v>619116.52</v>
      </c>
      <c r="J45" s="562">
        <v>654883.82000000007</v>
      </c>
      <c r="K45" s="562">
        <v>604521.81999999995</v>
      </c>
      <c r="L45" s="562">
        <v>748638.74</v>
      </c>
      <c r="M45" s="562">
        <v>679203.13</v>
      </c>
      <c r="N45" s="562">
        <v>-816651.71</v>
      </c>
      <c r="O45" s="562">
        <v>644090.56000000006</v>
      </c>
      <c r="P45" s="562">
        <v>1332474.01</v>
      </c>
      <c r="Q45" s="563">
        <v>7446292.5100000016</v>
      </c>
      <c r="R45" s="561">
        <v>515013.14999999997</v>
      </c>
      <c r="S45" s="562">
        <v>567191.59</v>
      </c>
      <c r="T45" s="562">
        <v>671891.94</v>
      </c>
      <c r="U45" s="562">
        <v>630588.23</v>
      </c>
      <c r="V45" s="562">
        <v>725036.40999999992</v>
      </c>
      <c r="W45" s="562">
        <v>608165.14000000013</v>
      </c>
      <c r="X45" s="562">
        <v>800050.1399999999</v>
      </c>
      <c r="Y45" s="562">
        <v>759788.96000000008</v>
      </c>
      <c r="Z45" s="562">
        <v>666296.54000000015</v>
      </c>
      <c r="AA45" s="562">
        <v>683200.99999999988</v>
      </c>
      <c r="AB45" s="562">
        <v>596182.75999999943</v>
      </c>
      <c r="AC45" s="562">
        <v>819724.47999999963</v>
      </c>
      <c r="AD45" s="562">
        <v>306944.46000000037</v>
      </c>
      <c r="AE45" s="563">
        <v>8350074.7999999998</v>
      </c>
      <c r="AF45" s="561">
        <v>513487.02999999997</v>
      </c>
      <c r="AG45" s="562">
        <v>558436.45999999973</v>
      </c>
      <c r="AH45" s="562">
        <v>582712.05999999971</v>
      </c>
      <c r="AI45" s="562">
        <v>699470.08</v>
      </c>
      <c r="AJ45" s="562">
        <v>566467.27000000014</v>
      </c>
      <c r="AK45" s="562">
        <v>554508.81999999995</v>
      </c>
      <c r="AL45" s="562">
        <v>591316.92999999982</v>
      </c>
      <c r="AM45" s="562">
        <v>624470.81000000029</v>
      </c>
      <c r="AN45" s="562">
        <v>634190.27999999991</v>
      </c>
      <c r="AO45" s="562">
        <v>592115.65000000014</v>
      </c>
      <c r="AP45" s="562">
        <v>599550.74999999988</v>
      </c>
      <c r="AQ45" s="562">
        <v>582620.14</v>
      </c>
      <c r="AR45" s="565">
        <v>-1170894.4200000009</v>
      </c>
      <c r="AS45" s="564">
        <f t="shared" si="6"/>
        <v>5928451.8599999985</v>
      </c>
      <c r="AT45" s="561">
        <v>457905.82999999996</v>
      </c>
      <c r="AU45" s="562">
        <v>517159.88</v>
      </c>
      <c r="AV45" s="562">
        <v>506985.42</v>
      </c>
      <c r="AW45" s="562">
        <v>518836.65</v>
      </c>
      <c r="AX45" s="562">
        <v>527113.64</v>
      </c>
      <c r="AY45" s="565">
        <v>503040.28999999986</v>
      </c>
      <c r="AZ45" s="562">
        <v>521421.6700000001</v>
      </c>
      <c r="BA45" s="562">
        <v>544072.90999999992</v>
      </c>
      <c r="BB45" s="562">
        <v>505460.81</v>
      </c>
      <c r="BC45" s="565">
        <v>526658.44999999984</v>
      </c>
      <c r="BD45" s="562">
        <v>515164.38</v>
      </c>
      <c r="BE45" s="562">
        <v>526311.30999999994</v>
      </c>
      <c r="BF45" s="562">
        <f>$BG45-SUM($AT45:BE45)</f>
        <v>-1456950.2399999993</v>
      </c>
      <c r="BG45" s="563">
        <v>4713181</v>
      </c>
      <c r="BH45" s="566">
        <v>496152.63</v>
      </c>
      <c r="BI45" s="567">
        <v>513900.5</v>
      </c>
      <c r="BJ45" s="567">
        <v>544830</v>
      </c>
      <c r="BK45" s="567">
        <v>537541</v>
      </c>
      <c r="BL45" s="567">
        <v>542299</v>
      </c>
      <c r="BM45" s="567">
        <v>553258</v>
      </c>
      <c r="BN45" s="567">
        <v>533940</v>
      </c>
      <c r="BO45" s="567">
        <v>526023</v>
      </c>
      <c r="BP45" s="567">
        <v>1120356</v>
      </c>
      <c r="BQ45" s="567">
        <v>525307</v>
      </c>
      <c r="BR45" s="567">
        <v>730947</v>
      </c>
      <c r="BS45" s="567">
        <v>741420</v>
      </c>
      <c r="BT45" s="567">
        <f t="shared" si="7"/>
        <v>-1601544.13</v>
      </c>
      <c r="BU45" s="563">
        <v>5764430</v>
      </c>
      <c r="BW45" s="540"/>
    </row>
    <row r="46" spans="1:75" ht="15" customHeight="1">
      <c r="A46" s="558"/>
      <c r="B46" s="551" t="s">
        <v>166</v>
      </c>
      <c r="C46" s="560" t="s">
        <v>167</v>
      </c>
      <c r="D46" s="561"/>
      <c r="E46" s="562"/>
      <c r="F46" s="562"/>
      <c r="G46" s="562"/>
      <c r="H46" s="562"/>
      <c r="I46" s="562">
        <v>1793.99</v>
      </c>
      <c r="J46" s="562">
        <v>1979.35</v>
      </c>
      <c r="K46" s="562"/>
      <c r="L46" s="562"/>
      <c r="M46" s="562">
        <v>2327.9499999999998</v>
      </c>
      <c r="N46" s="562">
        <v>0</v>
      </c>
      <c r="O46" s="562"/>
      <c r="P46" s="562">
        <v>2439.9</v>
      </c>
      <c r="Q46" s="563">
        <v>8541.19</v>
      </c>
      <c r="R46" s="561"/>
      <c r="S46" s="562"/>
      <c r="T46" s="562"/>
      <c r="U46" s="562"/>
      <c r="V46" s="562">
        <v>1614.63</v>
      </c>
      <c r="W46" s="562">
        <v>0</v>
      </c>
      <c r="X46" s="562">
        <v>0</v>
      </c>
      <c r="Y46" s="562">
        <v>0</v>
      </c>
      <c r="Z46" s="562">
        <v>0</v>
      </c>
      <c r="AA46" s="562">
        <v>0</v>
      </c>
      <c r="AB46" s="562">
        <v>0</v>
      </c>
      <c r="AC46" s="562">
        <v>0</v>
      </c>
      <c r="AD46" s="562">
        <v>6904.5</v>
      </c>
      <c r="AE46" s="563">
        <v>8519.130000000001</v>
      </c>
      <c r="AF46" s="561"/>
      <c r="AG46" s="562"/>
      <c r="AH46" s="562"/>
      <c r="AI46" s="562">
        <v>1757.34</v>
      </c>
      <c r="AJ46" s="562"/>
      <c r="AK46" s="562"/>
      <c r="AL46" s="562"/>
      <c r="AM46" s="562"/>
      <c r="AN46" s="562"/>
      <c r="AO46" s="562"/>
      <c r="AP46" s="562"/>
      <c r="AQ46" s="562"/>
      <c r="AR46" s="565">
        <v>5316.12</v>
      </c>
      <c r="AS46" s="564">
        <f t="shared" si="6"/>
        <v>7073.46</v>
      </c>
      <c r="AT46" s="561"/>
      <c r="AU46" s="562"/>
      <c r="AV46" s="562"/>
      <c r="AW46" s="562">
        <v>0</v>
      </c>
      <c r="AX46" s="562">
        <v>0</v>
      </c>
      <c r="AY46" s="562">
        <v>0</v>
      </c>
      <c r="AZ46" s="562">
        <v>0</v>
      </c>
      <c r="BA46" s="562">
        <v>0</v>
      </c>
      <c r="BB46" s="562">
        <v>0</v>
      </c>
      <c r="BC46" s="562">
        <v>0</v>
      </c>
      <c r="BD46" s="562">
        <v>0</v>
      </c>
      <c r="BE46" s="562">
        <v>0</v>
      </c>
      <c r="BF46" s="562">
        <f>$BG46-SUM($AT46:BE46)</f>
        <v>8792</v>
      </c>
      <c r="BG46" s="563">
        <v>8792</v>
      </c>
      <c r="BH46" s="566">
        <v>0</v>
      </c>
      <c r="BI46" s="567">
        <v>0</v>
      </c>
      <c r="BJ46" s="567">
        <v>0</v>
      </c>
      <c r="BK46" s="567">
        <v>0</v>
      </c>
      <c r="BL46" s="567">
        <v>0</v>
      </c>
      <c r="BM46" s="567">
        <v>0</v>
      </c>
      <c r="BN46" s="567">
        <v>0</v>
      </c>
      <c r="BO46" s="567">
        <v>0</v>
      </c>
      <c r="BP46" s="567">
        <v>0</v>
      </c>
      <c r="BQ46" s="567">
        <v>0</v>
      </c>
      <c r="BR46" s="567">
        <v>0</v>
      </c>
      <c r="BS46" s="567">
        <v>0</v>
      </c>
      <c r="BT46" s="567">
        <f t="shared" si="7"/>
        <v>8792</v>
      </c>
      <c r="BU46" s="563">
        <v>8792</v>
      </c>
      <c r="BW46" s="540"/>
    </row>
    <row r="47" spans="1:75" s="536" customFormat="1" ht="15" customHeight="1">
      <c r="A47" s="558" t="s">
        <v>415</v>
      </c>
      <c r="B47" s="551"/>
      <c r="C47" s="560"/>
      <c r="D47" s="606">
        <v>465134.66</v>
      </c>
      <c r="E47" s="607">
        <v>640648.57999999996</v>
      </c>
      <c r="F47" s="607">
        <v>601361.65</v>
      </c>
      <c r="G47" s="607">
        <v>625843.30000000005</v>
      </c>
      <c r="H47" s="607">
        <v>647027.43000000005</v>
      </c>
      <c r="I47" s="607">
        <v>620910.51</v>
      </c>
      <c r="J47" s="607">
        <v>656863.17000000004</v>
      </c>
      <c r="K47" s="607">
        <v>604521.81999999995</v>
      </c>
      <c r="L47" s="607">
        <v>748638.74</v>
      </c>
      <c r="M47" s="607">
        <v>681531.08</v>
      </c>
      <c r="N47" s="607">
        <v>-816651.71</v>
      </c>
      <c r="O47" s="607">
        <v>644090.56000000006</v>
      </c>
      <c r="P47" s="607">
        <v>1334913.9099999999</v>
      </c>
      <c r="Q47" s="563">
        <v>7454833.700000002</v>
      </c>
      <c r="R47" s="606">
        <v>515013.14999999997</v>
      </c>
      <c r="S47" s="607">
        <v>567191.59</v>
      </c>
      <c r="T47" s="607">
        <v>671891.94</v>
      </c>
      <c r="U47" s="607">
        <v>630588.23</v>
      </c>
      <c r="V47" s="607">
        <v>726651.03999999992</v>
      </c>
      <c r="W47" s="607">
        <v>608165.14000000013</v>
      </c>
      <c r="X47" s="607">
        <v>800050.1399999999</v>
      </c>
      <c r="Y47" s="607">
        <v>759788.96000000008</v>
      </c>
      <c r="Z47" s="607">
        <v>666296.54000000015</v>
      </c>
      <c r="AA47" s="607">
        <v>683200.99999999988</v>
      </c>
      <c r="AB47" s="607">
        <v>596182.75999999943</v>
      </c>
      <c r="AC47" s="607">
        <v>819724.47999999963</v>
      </c>
      <c r="AD47" s="607">
        <v>313848.96000000037</v>
      </c>
      <c r="AE47" s="563">
        <v>8358593.9299999997</v>
      </c>
      <c r="AF47" s="606">
        <v>513487.02999999997</v>
      </c>
      <c r="AG47" s="607">
        <v>558436.45999999973</v>
      </c>
      <c r="AH47" s="607">
        <v>582712.05999999971</v>
      </c>
      <c r="AI47" s="607">
        <v>701227.41999999993</v>
      </c>
      <c r="AJ47" s="607">
        <v>566467.27000000014</v>
      </c>
      <c r="AK47" s="607">
        <v>554508.81999999995</v>
      </c>
      <c r="AL47" s="607">
        <v>591316.92999999982</v>
      </c>
      <c r="AM47" s="607">
        <v>624470.81000000029</v>
      </c>
      <c r="AN47" s="607">
        <v>634190.27999999991</v>
      </c>
      <c r="AO47" s="607">
        <v>592115.65000000014</v>
      </c>
      <c r="AP47" s="607">
        <v>599550.74999999988</v>
      </c>
      <c r="AQ47" s="607">
        <v>582620.14</v>
      </c>
      <c r="AR47" s="583">
        <f>SUM(AR45:AR46)</f>
        <v>-1165578.3000000007</v>
      </c>
      <c r="AS47" s="564">
        <f>SUM(AS45:AS46)</f>
        <v>5935525.3199999984</v>
      </c>
      <c r="AT47" s="606">
        <f>SUM(AT45:AT46)</f>
        <v>457905.82999999996</v>
      </c>
      <c r="AU47" s="607">
        <f t="shared" ref="AU47:BG47" si="15">SUM(AU45:AU46)</f>
        <v>517159.88</v>
      </c>
      <c r="AV47" s="607">
        <v>506985.42</v>
      </c>
      <c r="AW47" s="607">
        <f t="shared" si="15"/>
        <v>518836.65</v>
      </c>
      <c r="AX47" s="607">
        <f t="shared" si="15"/>
        <v>527113.64</v>
      </c>
      <c r="AY47" s="583">
        <f t="shared" si="15"/>
        <v>503040.28999999986</v>
      </c>
      <c r="AZ47" s="607">
        <f t="shared" si="15"/>
        <v>521421.6700000001</v>
      </c>
      <c r="BA47" s="607">
        <f t="shared" si="15"/>
        <v>544072.90999999992</v>
      </c>
      <c r="BB47" s="607">
        <v>505460.81</v>
      </c>
      <c r="BC47" s="607">
        <v>526658.44999999984</v>
      </c>
      <c r="BD47" s="607">
        <v>515164.38</v>
      </c>
      <c r="BE47" s="607">
        <v>526311.30999999994</v>
      </c>
      <c r="BF47" s="608">
        <f>SUM(BF45:BF46)-1</f>
        <v>-1448159.2399999993</v>
      </c>
      <c r="BG47" s="563">
        <f t="shared" si="15"/>
        <v>4721973</v>
      </c>
      <c r="BH47" s="606">
        <v>496152.63</v>
      </c>
      <c r="BI47" s="607">
        <f t="shared" ref="BI47:BS47" si="16">SUM(BI45:BI46)</f>
        <v>513900.5</v>
      </c>
      <c r="BJ47" s="607">
        <f t="shared" si="16"/>
        <v>544830</v>
      </c>
      <c r="BK47" s="607">
        <f t="shared" si="16"/>
        <v>537541</v>
      </c>
      <c r="BL47" s="607">
        <f t="shared" si="16"/>
        <v>542299</v>
      </c>
      <c r="BM47" s="607">
        <f t="shared" si="16"/>
        <v>553258</v>
      </c>
      <c r="BN47" s="607">
        <f t="shared" si="16"/>
        <v>533940</v>
      </c>
      <c r="BO47" s="607">
        <f t="shared" si="16"/>
        <v>526023</v>
      </c>
      <c r="BP47" s="607">
        <f t="shared" si="16"/>
        <v>1120356</v>
      </c>
      <c r="BQ47" s="607">
        <f t="shared" si="16"/>
        <v>525307</v>
      </c>
      <c r="BR47" s="607">
        <f t="shared" si="16"/>
        <v>730947</v>
      </c>
      <c r="BS47" s="607">
        <f t="shared" si="16"/>
        <v>741420</v>
      </c>
      <c r="BT47" s="607">
        <f t="shared" si="7"/>
        <v>-1592752.13</v>
      </c>
      <c r="BU47" s="563">
        <v>5773222</v>
      </c>
      <c r="BV47" s="539"/>
      <c r="BW47" s="609"/>
    </row>
    <row r="48" spans="1:75" s="536" customFormat="1" ht="16.8" thickBot="1">
      <c r="A48" s="610" t="s">
        <v>161</v>
      </c>
      <c r="B48" s="575"/>
      <c r="C48" s="576"/>
      <c r="D48" s="577">
        <v>30353987.310000006</v>
      </c>
      <c r="E48" s="578">
        <v>42051280.359999985</v>
      </c>
      <c r="F48" s="578">
        <v>40238054.849999994</v>
      </c>
      <c r="G48" s="578">
        <v>40809499.900000006</v>
      </c>
      <c r="H48" s="578">
        <v>43393177.310000002</v>
      </c>
      <c r="I48" s="578">
        <v>40354805.730000004</v>
      </c>
      <c r="J48" s="578">
        <v>40649854.829999976</v>
      </c>
      <c r="K48" s="578">
        <v>39022351.68999999</v>
      </c>
      <c r="L48" s="578">
        <v>47479320.319999993</v>
      </c>
      <c r="M48" s="578">
        <v>43008442.519999988</v>
      </c>
      <c r="N48" s="578">
        <v>38043320.849999994</v>
      </c>
      <c r="O48" s="578">
        <v>41276584.629999988</v>
      </c>
      <c r="P48" s="578">
        <v>24345797.800000008</v>
      </c>
      <c r="Q48" s="579">
        <v>511026478.10000008</v>
      </c>
      <c r="R48" s="611">
        <v>32170270.539999995</v>
      </c>
      <c r="S48" s="612">
        <v>36054322.960000001</v>
      </c>
      <c r="T48" s="612">
        <v>42888990.190000005</v>
      </c>
      <c r="U48" s="612">
        <v>43789082.539999999</v>
      </c>
      <c r="V48" s="612">
        <v>47949757.799999997</v>
      </c>
      <c r="W48" s="612">
        <v>39605286.110000007</v>
      </c>
      <c r="X48" s="612">
        <v>52319839.030000001</v>
      </c>
      <c r="Y48" s="612">
        <v>50976759.130000003</v>
      </c>
      <c r="Z48" s="612">
        <v>45678152.600000046</v>
      </c>
      <c r="AA48" s="612">
        <v>47351439.360000022</v>
      </c>
      <c r="AB48" s="612">
        <v>41060179.610000119</v>
      </c>
      <c r="AC48" s="612">
        <v>54204224.140000075</v>
      </c>
      <c r="AD48" s="612">
        <v>20862683.120000087</v>
      </c>
      <c r="AE48" s="613">
        <v>554910987.13000047</v>
      </c>
      <c r="AF48" s="611">
        <v>33978625.509999961</v>
      </c>
      <c r="AG48" s="612">
        <v>39007792.950000033</v>
      </c>
      <c r="AH48" s="612">
        <v>48537562.390000083</v>
      </c>
      <c r="AI48" s="612">
        <v>56851355.710000098</v>
      </c>
      <c r="AJ48" s="612">
        <v>47279509.350000024</v>
      </c>
      <c r="AK48" s="612">
        <v>55572834.310000002</v>
      </c>
      <c r="AL48" s="612">
        <v>56000725.390000038</v>
      </c>
      <c r="AM48" s="612">
        <v>59708335.370000109</v>
      </c>
      <c r="AN48" s="612">
        <v>60846656.419999875</v>
      </c>
      <c r="AO48" s="612">
        <v>60935381.119999975</v>
      </c>
      <c r="AP48" s="612">
        <v>61002193.279999927</v>
      </c>
      <c r="AQ48" s="612">
        <v>58249080.800000034</v>
      </c>
      <c r="AR48" s="612">
        <f>SUM(AR28,AR44,AR47)</f>
        <v>35336033.900000289</v>
      </c>
      <c r="AS48" s="612">
        <f>AS28+AS44+AS47</f>
        <v>673306086.5000006</v>
      </c>
      <c r="AT48" s="611">
        <f>SUM(AT47,AT44,AT28)</f>
        <v>44267057.68999999</v>
      </c>
      <c r="AU48" s="612">
        <f>SUM(AU47,AU44,AU28)</f>
        <v>49179926.420000061</v>
      </c>
      <c r="AV48" s="612">
        <v>50520713.549999997</v>
      </c>
      <c r="AW48" s="612">
        <f t="shared" ref="AW48:BF48" si="17">SUM(AW47,AW44,AW28)</f>
        <v>50542518.169999979</v>
      </c>
      <c r="AX48" s="612">
        <f t="shared" si="17"/>
        <v>51735640.120000184</v>
      </c>
      <c r="AY48" s="612">
        <f t="shared" si="17"/>
        <v>49074081.710000023</v>
      </c>
      <c r="AZ48" s="612">
        <f t="shared" si="17"/>
        <v>48888835.529999986</v>
      </c>
      <c r="BA48" s="612">
        <f t="shared" si="17"/>
        <v>50926271.949999966</v>
      </c>
      <c r="BB48" s="612">
        <v>49476066.330000028</v>
      </c>
      <c r="BC48" s="612">
        <f>SUM(BC47,BC44,BC28)</f>
        <v>51844703.900000006</v>
      </c>
      <c r="BD48" s="612">
        <f t="shared" si="17"/>
        <v>53424732.040000051</v>
      </c>
      <c r="BE48" s="612">
        <f t="shared" si="17"/>
        <v>110518943.62</v>
      </c>
      <c r="BF48" s="612">
        <f t="shared" si="17"/>
        <v>47967737.96999976</v>
      </c>
      <c r="BG48" s="563">
        <f>SUM(BG47,BG44,BG28)</f>
        <v>708367230</v>
      </c>
      <c r="BH48" s="612">
        <f>SUM(BH47,BH44,BH28)</f>
        <v>44639864.280000001</v>
      </c>
      <c r="BI48" s="612">
        <f t="shared" ref="BI48:BS48" si="18">SUM(BI47,BI44,BI28)</f>
        <v>50396468.740000002</v>
      </c>
      <c r="BJ48" s="612">
        <f t="shared" si="18"/>
        <v>51334903</v>
      </c>
      <c r="BK48" s="612">
        <f t="shared" si="18"/>
        <v>51238605</v>
      </c>
      <c r="BL48" s="612">
        <f t="shared" si="18"/>
        <v>51995958</v>
      </c>
      <c r="BM48" s="612">
        <f t="shared" si="18"/>
        <v>52555951</v>
      </c>
      <c r="BN48" s="612">
        <f t="shared" si="18"/>
        <v>53370865</v>
      </c>
      <c r="BO48" s="612">
        <f t="shared" si="18"/>
        <v>53008374</v>
      </c>
      <c r="BP48" s="612">
        <f t="shared" si="18"/>
        <v>105143347</v>
      </c>
      <c r="BQ48" s="612">
        <f t="shared" si="18"/>
        <v>53811114</v>
      </c>
      <c r="BR48" s="612">
        <f t="shared" si="18"/>
        <v>71901693</v>
      </c>
      <c r="BS48" s="612">
        <f t="shared" si="18"/>
        <v>68641861.929999992</v>
      </c>
      <c r="BT48" s="612">
        <f t="shared" si="7"/>
        <v>16365407.050000072</v>
      </c>
      <c r="BU48" s="613">
        <f>SUM(BU28,BU44,BU47)</f>
        <v>724404412</v>
      </c>
      <c r="BV48" s="539"/>
    </row>
    <row r="49" spans="3:74" ht="19.95" customHeight="1">
      <c r="C49" s="558"/>
      <c r="D49" s="614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6"/>
      <c r="R49" s="614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6"/>
      <c r="AF49" s="614"/>
      <c r="AG49" s="615"/>
      <c r="AH49" s="615"/>
      <c r="AI49" s="615"/>
      <c r="AJ49" s="615"/>
      <c r="AK49" s="615"/>
      <c r="AL49" s="615"/>
      <c r="AM49" s="615"/>
      <c r="AN49" s="615"/>
      <c r="AO49" s="615"/>
      <c r="AP49" s="615"/>
      <c r="AQ49" s="615"/>
      <c r="AR49" s="617"/>
      <c r="AS49" s="618"/>
      <c r="AT49" s="614"/>
      <c r="AU49" s="615"/>
      <c r="AV49" s="615"/>
      <c r="AW49" s="615"/>
      <c r="AX49" s="615"/>
      <c r="AY49" s="619"/>
      <c r="AZ49" s="615"/>
      <c r="BA49" s="615"/>
      <c r="BB49" s="615"/>
      <c r="BC49" s="615"/>
      <c r="BD49" s="615"/>
      <c r="BE49" s="615"/>
      <c r="BF49" s="615"/>
      <c r="BG49" s="620"/>
      <c r="BH49" s="614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6"/>
    </row>
    <row r="50" spans="3:74" s="550" customFormat="1">
      <c r="C50" s="606" t="s">
        <v>416</v>
      </c>
      <c r="D50" s="606">
        <v>8761.6999999999989</v>
      </c>
      <c r="E50" s="607">
        <v>8799.6</v>
      </c>
      <c r="F50" s="607">
        <v>8807.6</v>
      </c>
      <c r="G50" s="607">
        <v>8754.9</v>
      </c>
      <c r="H50" s="607">
        <v>8699.5999999999985</v>
      </c>
      <c r="I50" s="607">
        <v>8684.2999999999993</v>
      </c>
      <c r="J50" s="607">
        <v>8651.4</v>
      </c>
      <c r="K50" s="607">
        <v>8676.5</v>
      </c>
      <c r="L50" s="607">
        <v>8666.5</v>
      </c>
      <c r="M50" s="607">
        <v>8668.6</v>
      </c>
      <c r="N50" s="607">
        <v>8623</v>
      </c>
      <c r="O50" s="607">
        <v>8563.6</v>
      </c>
      <c r="P50" s="607"/>
      <c r="Q50" s="563">
        <v>8696.4416666666675</v>
      </c>
      <c r="R50" s="606">
        <v>8517.6999999999989</v>
      </c>
      <c r="S50" s="607">
        <v>8526.1999999999989</v>
      </c>
      <c r="T50" s="607">
        <v>8541.2999999999993</v>
      </c>
      <c r="U50" s="607">
        <v>8550.0000000000018</v>
      </c>
      <c r="V50" s="607">
        <v>8593.1999999999989</v>
      </c>
      <c r="W50" s="607">
        <v>8640.5</v>
      </c>
      <c r="X50" s="607">
        <v>8702.9</v>
      </c>
      <c r="Y50" s="607">
        <v>8808.3999999999978</v>
      </c>
      <c r="Z50" s="607">
        <v>8943.9000000000015</v>
      </c>
      <c r="AA50" s="607">
        <v>9019.7999999999993</v>
      </c>
      <c r="AB50" s="607">
        <v>9005</v>
      </c>
      <c r="AC50" s="607">
        <v>8990.1</v>
      </c>
      <c r="AD50" s="607"/>
      <c r="AE50" s="563">
        <v>8736.5833333333339</v>
      </c>
      <c r="AF50" s="606">
        <v>8981</v>
      </c>
      <c r="AG50" s="607">
        <v>9044.1</v>
      </c>
      <c r="AH50" s="607">
        <v>9129</v>
      </c>
      <c r="AI50" s="607">
        <v>9130.2999999999993</v>
      </c>
      <c r="AJ50" s="607">
        <v>9252.6</v>
      </c>
      <c r="AK50" s="607">
        <v>9500.7000000000007</v>
      </c>
      <c r="AL50" s="607">
        <v>9712</v>
      </c>
      <c r="AM50" s="607">
        <v>9916.5</v>
      </c>
      <c r="AN50" s="607">
        <v>10024.799999999999</v>
      </c>
      <c r="AO50" s="607">
        <v>10052.700000000001</v>
      </c>
      <c r="AP50" s="621">
        <v>10006.5</v>
      </c>
      <c r="AQ50" s="607">
        <v>9936.4</v>
      </c>
      <c r="AR50" s="607"/>
      <c r="AS50" s="564">
        <f>AVERAGE(AF50:AR50)</f>
        <v>9557.2166666666653</v>
      </c>
      <c r="AT50" s="606">
        <v>9810.5</v>
      </c>
      <c r="AU50" s="583">
        <v>9777.6</v>
      </c>
      <c r="AV50" s="607">
        <v>9752.2000000000007</v>
      </c>
      <c r="AW50" s="583">
        <v>9736</v>
      </c>
      <c r="AX50" s="583">
        <v>9709.2000000000007</v>
      </c>
      <c r="AY50" s="583">
        <v>9675.1</v>
      </c>
      <c r="AZ50" s="583">
        <v>9696.1</v>
      </c>
      <c r="BA50" s="583">
        <v>9724.1</v>
      </c>
      <c r="BB50" s="583">
        <v>9750.4</v>
      </c>
      <c r="BC50" s="583">
        <v>9776</v>
      </c>
      <c r="BD50" s="583">
        <v>9741.9</v>
      </c>
      <c r="BE50" s="622">
        <v>9734.25</v>
      </c>
      <c r="BF50" s="622"/>
      <c r="BG50" s="623">
        <f>AVERAGE(AT50:BE50)</f>
        <v>9740.2791666666653</v>
      </c>
      <c r="BH50" s="606">
        <v>9767.9</v>
      </c>
      <c r="BI50" s="606">
        <v>9785.7999999999993</v>
      </c>
      <c r="BJ50" s="606">
        <v>9835.7000000000007</v>
      </c>
      <c r="BK50" s="606">
        <v>9867</v>
      </c>
      <c r="BL50" s="606">
        <v>9848.2000000000007</v>
      </c>
      <c r="BM50" s="606">
        <v>9859.2999999999993</v>
      </c>
      <c r="BN50" s="606">
        <v>9869.2999999999993</v>
      </c>
      <c r="BO50" s="606">
        <v>9887.4</v>
      </c>
      <c r="BP50" s="606">
        <v>9887.7999999999993</v>
      </c>
      <c r="BQ50" s="606">
        <v>9877.4</v>
      </c>
      <c r="BR50" s="606">
        <v>9868.2999999999993</v>
      </c>
      <c r="BS50" s="606">
        <v>9822.6</v>
      </c>
      <c r="BT50" s="607"/>
      <c r="BU50" s="563">
        <v>9848.0583333333325</v>
      </c>
      <c r="BV50" s="539"/>
    </row>
    <row r="51" spans="3:74" s="550" customFormat="1">
      <c r="C51" s="606"/>
      <c r="D51" s="606"/>
      <c r="E51" s="607"/>
      <c r="F51" s="607"/>
      <c r="G51" s="607"/>
      <c r="H51" s="607"/>
      <c r="I51" s="607"/>
      <c r="J51" s="607"/>
      <c r="K51" s="607"/>
      <c r="L51" s="607"/>
      <c r="M51" s="607"/>
      <c r="N51" s="607"/>
      <c r="O51" s="607"/>
      <c r="P51" s="607"/>
      <c r="Q51" s="563"/>
      <c r="R51" s="606"/>
      <c r="S51" s="607"/>
      <c r="T51" s="607"/>
      <c r="U51" s="607"/>
      <c r="V51" s="607"/>
      <c r="W51" s="607"/>
      <c r="X51" s="607"/>
      <c r="Y51" s="607"/>
      <c r="Z51" s="607"/>
      <c r="AA51" s="607"/>
      <c r="AB51" s="607"/>
      <c r="AC51" s="607"/>
      <c r="AD51" s="607"/>
      <c r="AE51" s="563"/>
      <c r="AF51" s="606"/>
      <c r="AG51" s="607"/>
      <c r="AH51" s="607"/>
      <c r="AI51" s="607"/>
      <c r="AJ51" s="607"/>
      <c r="AK51" s="607"/>
      <c r="AL51" s="607"/>
      <c r="AM51" s="607"/>
      <c r="AN51" s="607"/>
      <c r="AO51" s="607"/>
      <c r="AP51" s="607"/>
      <c r="AQ51" s="607"/>
      <c r="AR51" s="607"/>
      <c r="AS51" s="564"/>
      <c r="AT51" s="606"/>
      <c r="AU51" s="607"/>
      <c r="AV51" s="607"/>
      <c r="AW51" s="607"/>
      <c r="AX51" s="583"/>
      <c r="AY51" s="583"/>
      <c r="AZ51" s="607"/>
      <c r="BA51" s="607"/>
      <c r="BB51" s="607"/>
      <c r="BC51" s="607"/>
      <c r="BD51" s="607"/>
      <c r="BE51" s="607"/>
      <c r="BF51" s="607"/>
      <c r="BG51" s="623"/>
      <c r="BH51" s="606"/>
      <c r="BI51" s="607"/>
      <c r="BJ51" s="607"/>
      <c r="BK51" s="607"/>
      <c r="BL51" s="607"/>
      <c r="BM51" s="607"/>
      <c r="BN51" s="607"/>
      <c r="BO51" s="607"/>
      <c r="BP51" s="607"/>
      <c r="BQ51" s="607"/>
      <c r="BR51" s="607"/>
      <c r="BS51" s="607"/>
      <c r="BT51" s="607"/>
      <c r="BU51" s="563"/>
      <c r="BV51" s="539"/>
    </row>
    <row r="52" spans="3:74" s="630" customFormat="1">
      <c r="C52" s="624" t="s">
        <v>417</v>
      </c>
      <c r="D52" s="624">
        <v>3285.9299305601885</v>
      </c>
      <c r="E52" s="625">
        <v>3431.9963478844957</v>
      </c>
      <c r="F52" s="625">
        <v>3479.941511723875</v>
      </c>
      <c r="G52" s="625">
        <v>3479.6126601509554</v>
      </c>
      <c r="H52" s="625">
        <v>3465.2099561130176</v>
      </c>
      <c r="I52" s="625">
        <v>3484.6043906943323</v>
      </c>
      <c r="J52" s="625">
        <v>3517.9774381876691</v>
      </c>
      <c r="K52" s="625">
        <v>3523.7954180653032</v>
      </c>
      <c r="L52" s="625">
        <v>3534.3970259649927</v>
      </c>
      <c r="M52" s="625">
        <v>3561.4798476228229</v>
      </c>
      <c r="N52" s="625">
        <v>3590.0275354491923</v>
      </c>
      <c r="O52" s="625">
        <v>3633.4364653273847</v>
      </c>
      <c r="P52" s="625"/>
      <c r="Q52" s="626">
        <v>42307.563849002116</v>
      </c>
      <c r="R52" s="624">
        <v>3435.5906717876774</v>
      </c>
      <c r="S52" s="625">
        <v>3658.749280870928</v>
      </c>
      <c r="T52" s="625">
        <v>3689.9228035976143</v>
      </c>
      <c r="U52" s="625">
        <v>4350.3084804043738</v>
      </c>
      <c r="V52" s="625">
        <v>3695.7670615428365</v>
      </c>
      <c r="W52" s="625">
        <v>3709.517575106453</v>
      </c>
      <c r="X52" s="625">
        <v>3734.3698830514659</v>
      </c>
      <c r="Y52" s="625">
        <v>3798.1687601188301</v>
      </c>
      <c r="Z52" s="625">
        <v>3781.2970555116567</v>
      </c>
      <c r="AA52" s="625">
        <v>3800.5810119355851</v>
      </c>
      <c r="AB52" s="625">
        <v>3828.5447320509384</v>
      </c>
      <c r="AC52" s="625">
        <v>3893.65917969977</v>
      </c>
      <c r="AD52" s="625"/>
      <c r="AE52" s="626">
        <v>45858.521721491481</v>
      </c>
      <c r="AF52" s="624">
        <v>3462.8995735315443</v>
      </c>
      <c r="AG52" s="625">
        <v>3736.9907013687816</v>
      </c>
      <c r="AH52" s="625">
        <v>3790.8349622784317</v>
      </c>
      <c r="AI52" s="625">
        <v>4310.1270186313377</v>
      </c>
      <c r="AJ52" s="625">
        <v>4385.2477090890116</v>
      </c>
      <c r="AK52" s="625">
        <v>4418.0717968790186</v>
      </c>
      <c r="AL52" s="625">
        <v>4490.6247320586817</v>
      </c>
      <c r="AM52" s="625">
        <v>4609.8973163885958</v>
      </c>
      <c r="AN52" s="625">
        <v>4668.5308740072014</v>
      </c>
      <c r="AO52" s="625">
        <v>4630.415092786523</v>
      </c>
      <c r="AP52" s="625">
        <v>4553.5730092675258</v>
      </c>
      <c r="AQ52" s="625">
        <v>4477.203751216668</v>
      </c>
      <c r="AR52" s="625"/>
      <c r="AS52" s="627">
        <f>SUM(AS8:AS9)/AS50</f>
        <v>51999.261700696617</v>
      </c>
      <c r="AT52" s="624">
        <f t="shared" ref="AT52:BD52" si="19">SUM(AT8,AT9)/AT50</f>
        <v>4180.0354946231064</v>
      </c>
      <c r="AU52" s="625">
        <f t="shared" si="19"/>
        <v>4457.5093899533495</v>
      </c>
      <c r="AV52" s="625">
        <f t="shared" si="19"/>
        <v>4520.1232471147341</v>
      </c>
      <c r="AW52" s="625">
        <f t="shared" si="19"/>
        <v>4535.8982346579687</v>
      </c>
      <c r="AX52" s="628">
        <f t="shared" si="19"/>
        <v>4407.5253591603805</v>
      </c>
      <c r="AY52" s="628">
        <f t="shared" si="19"/>
        <v>4406.6126985106121</v>
      </c>
      <c r="AZ52" s="625">
        <f t="shared" si="19"/>
        <v>4391.6118410577456</v>
      </c>
      <c r="BA52" s="625">
        <f t="shared" si="19"/>
        <v>4409.8656973609877</v>
      </c>
      <c r="BB52" s="625">
        <f t="shared" si="19"/>
        <v>4443.9212896307808</v>
      </c>
      <c r="BC52" s="625">
        <f t="shared" si="19"/>
        <v>4493.7004183862537</v>
      </c>
      <c r="BD52" s="625">
        <f t="shared" si="19"/>
        <v>4517.503678308658</v>
      </c>
      <c r="BE52" s="625">
        <f>SUM(BE8,BE9)/BE50</f>
        <v>4520.0800768394492</v>
      </c>
      <c r="BF52" s="625"/>
      <c r="BG52" s="629">
        <f>SUM(BG8,BG9)/BG50</f>
        <v>55502.698510951312</v>
      </c>
      <c r="BH52" s="625">
        <f>SUM(BH8,BH9)/BH50</f>
        <v>4242.1029752239037</v>
      </c>
      <c r="BI52" s="625">
        <f>SUM(BI8,BI9)/BI50</f>
        <v>4424.1482670683145</v>
      </c>
      <c r="BJ52" s="625">
        <f t="shared" ref="BJ52:BR52" si="20">SUM(BJ8,BJ9)/BJ50</f>
        <v>4450.7800156572484</v>
      </c>
      <c r="BK52" s="625">
        <f t="shared" si="20"/>
        <v>4492.874835309618</v>
      </c>
      <c r="BL52" s="625">
        <f t="shared" si="20"/>
        <v>4451.2334233667061</v>
      </c>
      <c r="BM52" s="625">
        <f t="shared" si="20"/>
        <v>4467.433590620024</v>
      </c>
      <c r="BN52" s="625">
        <f t="shared" si="20"/>
        <v>4489.1854538822408</v>
      </c>
      <c r="BO52" s="625">
        <f t="shared" si="20"/>
        <v>4506.7313955134823</v>
      </c>
      <c r="BP52" s="625">
        <f t="shared" si="20"/>
        <v>4708.2465260219669</v>
      </c>
      <c r="BQ52" s="625">
        <f t="shared" si="20"/>
        <v>4582.4138441604046</v>
      </c>
      <c r="BR52" s="625">
        <f t="shared" si="20"/>
        <v>4580.8508051032095</v>
      </c>
      <c r="BS52" s="625">
        <f>SUM(BS8,BS9)/BS50</f>
        <v>4553.571204131199</v>
      </c>
      <c r="BT52" s="625"/>
      <c r="BU52" s="626">
        <f>SUM(BU8,BU9)/BU50</f>
        <v>56598.816247195944</v>
      </c>
      <c r="BV52" s="539"/>
    </row>
    <row r="53" spans="3:74" s="630" customFormat="1" ht="16.8" thickBot="1">
      <c r="C53" s="631" t="s">
        <v>418</v>
      </c>
      <c r="D53" s="631">
        <v>3464.3316281786183</v>
      </c>
      <c r="E53" s="632">
        <v>4768.4277053459264</v>
      </c>
      <c r="F53" s="632">
        <v>4549.272924492735</v>
      </c>
      <c r="G53" s="632">
        <v>4647.8489596046556</v>
      </c>
      <c r="H53" s="632">
        <v>4966.4740296901937</v>
      </c>
      <c r="I53" s="632">
        <v>4634.1433716759666</v>
      </c>
      <c r="J53" s="632">
        <v>4687.6533092200571</v>
      </c>
      <c r="K53" s="632">
        <v>4479.2897206028929</v>
      </c>
      <c r="L53" s="632">
        <v>5466.7187688167078</v>
      </c>
      <c r="M53" s="632">
        <v>4947.4733277930918</v>
      </c>
      <c r="N53" s="632">
        <v>4390.3472485966586</v>
      </c>
      <c r="O53" s="632">
        <v>4801.2773842541674</v>
      </c>
      <c r="P53" s="632"/>
      <c r="Q53" s="633">
        <v>58575.062192388126</v>
      </c>
      <c r="R53" s="631">
        <v>3774.9577973860432</v>
      </c>
      <c r="S53" s="632">
        <v>4213.9922290282557</v>
      </c>
      <c r="T53" s="632">
        <v>5009.4022486581207</v>
      </c>
      <c r="U53" s="632">
        <v>5102.736235666689</v>
      </c>
      <c r="V53" s="632">
        <v>5552.1814528499863</v>
      </c>
      <c r="W53" s="632">
        <v>4571.9619543442868</v>
      </c>
      <c r="X53" s="632">
        <v>5998.2408069010116</v>
      </c>
      <c r="Y53" s="632">
        <v>5764.7954837927055</v>
      </c>
      <c r="Z53" s="632">
        <v>5091.9284808888515</v>
      </c>
      <c r="AA53" s="632">
        <v>5227.2257775820181</v>
      </c>
      <c r="AB53" s="632">
        <v>4538.0142801895045</v>
      </c>
      <c r="AC53" s="632">
        <v>6008.2351101362274</v>
      </c>
      <c r="AD53" s="632"/>
      <c r="AE53" s="633">
        <v>63287.007977266068</v>
      </c>
      <c r="AF53" s="631">
        <v>3783.1856253980527</v>
      </c>
      <c r="AG53" s="632">
        <v>4295.6154274923538</v>
      </c>
      <c r="AH53" s="632">
        <v>5300.9047433730084</v>
      </c>
      <c r="AI53" s="632">
        <v>6208.6148216727943</v>
      </c>
      <c r="AJ53" s="632">
        <v>5089.454426653966</v>
      </c>
      <c r="AK53" s="632">
        <v>5834.5822589324034</v>
      </c>
      <c r="AL53" s="632">
        <v>5747.5691913271021</v>
      </c>
      <c r="AM53" s="632">
        <v>6009.4379410997226</v>
      </c>
      <c r="AN53" s="632">
        <v>6049.8048008347905</v>
      </c>
      <c r="AO53" s="632">
        <v>6041.7392660270534</v>
      </c>
      <c r="AP53" s="632">
        <v>6070.0436646944872</v>
      </c>
      <c r="AQ53" s="632">
        <v>5834.2433053213826</v>
      </c>
      <c r="AR53" s="632"/>
      <c r="AS53" s="634">
        <f>(AS21-SUM(AS18:AS20))/AS50</f>
        <v>70216.81635197789</v>
      </c>
      <c r="AT53" s="631">
        <f>(AT21-AT18-AT19-AT20)/AT50</f>
        <v>4511.1319310942345</v>
      </c>
      <c r="AU53" s="632">
        <f t="shared" ref="AU53:BC53" si="21">(AU21-AU18-AU19-AU20)/AU50</f>
        <v>5017.6059697676337</v>
      </c>
      <c r="AV53" s="632">
        <f t="shared" si="21"/>
        <v>5159.7336990627746</v>
      </c>
      <c r="AW53" s="632">
        <f t="shared" si="21"/>
        <v>5158.2206306491353</v>
      </c>
      <c r="AX53" s="635">
        <f t="shared" si="21"/>
        <v>5228.7457916203375</v>
      </c>
      <c r="AY53" s="635">
        <f t="shared" si="21"/>
        <v>5052.804186623398</v>
      </c>
      <c r="AZ53" s="632">
        <f t="shared" si="21"/>
        <v>5029.2610397170001</v>
      </c>
      <c r="BA53" s="632">
        <f t="shared" si="21"/>
        <v>5136.9011552602278</v>
      </c>
      <c r="BB53" s="632">
        <f t="shared" si="21"/>
        <v>5051.7123059983142</v>
      </c>
      <c r="BC53" s="632">
        <f t="shared" si="21"/>
        <v>5273.5100505368264</v>
      </c>
      <c r="BD53" s="632">
        <f>(BD21-SUM(BD18:BD20))/BD50</f>
        <v>5291.7158160519757</v>
      </c>
      <c r="BE53" s="632">
        <f>(BE21-SUM(BE18:BE20))/BE50</f>
        <v>11303.823372113924</v>
      </c>
      <c r="BF53" s="632"/>
      <c r="BG53" s="636">
        <f>(BG21-SUM(BG18:BG20))/BG50</f>
        <v>72212.998012216558</v>
      </c>
      <c r="BH53" s="632">
        <f>(BH21-BH18-BH19-BH20)/BH50</f>
        <v>4569.073431341435</v>
      </c>
      <c r="BI53" s="632">
        <f>(BI21-BI18-BI19-BI20)/BI50</f>
        <v>5149.9589961074889</v>
      </c>
      <c r="BJ53" s="632">
        <f t="shared" ref="BJ53:BR53" si="22">(BJ21-BJ18-BJ19-BJ20)/BJ50</f>
        <v>5219.2424535111886</v>
      </c>
      <c r="BK53" s="632">
        <f t="shared" si="22"/>
        <v>5168.4231275970405</v>
      </c>
      <c r="BL53" s="632">
        <f t="shared" si="22"/>
        <v>5253.3710728864153</v>
      </c>
      <c r="BM53" s="632">
        <f t="shared" si="22"/>
        <v>5313.4522734879765</v>
      </c>
      <c r="BN53" s="632">
        <f t="shared" si="22"/>
        <v>5377.0547049942752</v>
      </c>
      <c r="BO53" s="632">
        <f t="shared" si="22"/>
        <v>5342.8309767987539</v>
      </c>
      <c r="BP53" s="632">
        <f t="shared" si="22"/>
        <v>10606.549889763142</v>
      </c>
      <c r="BQ53" s="632">
        <f t="shared" si="22"/>
        <v>5423.2137590343591</v>
      </c>
      <c r="BR53" s="632">
        <f t="shared" si="22"/>
        <v>7156.5279734098076</v>
      </c>
      <c r="BS53" s="632">
        <f>(BS21-BS18-BS19-BS20)/BS50</f>
        <v>6967.6208861932937</v>
      </c>
      <c r="BT53" s="632"/>
      <c r="BU53" s="633">
        <f>(BU21-BU18-BU19-BU20)/BU50</f>
        <v>73195.204638477808</v>
      </c>
      <c r="BV53" s="539"/>
    </row>
    <row r="54" spans="3:74">
      <c r="AF54" s="609"/>
      <c r="AG54" s="609"/>
      <c r="AH54" s="609"/>
      <c r="AI54" s="609"/>
      <c r="AJ54" s="609"/>
      <c r="AK54" s="609"/>
      <c r="AL54" s="609"/>
      <c r="AM54" s="609"/>
      <c r="AN54" s="609"/>
      <c r="AO54" s="609"/>
      <c r="AP54" s="609"/>
      <c r="AQ54" s="609"/>
      <c r="AR54" s="609"/>
      <c r="AS54" s="609"/>
      <c r="AT54" s="609"/>
      <c r="AU54" s="609"/>
      <c r="AV54" s="609"/>
      <c r="AW54" s="609"/>
      <c r="AX54" s="609"/>
      <c r="AY54" s="609"/>
      <c r="AZ54" s="609"/>
      <c r="BA54" s="609"/>
      <c r="BB54" s="609"/>
      <c r="BC54" s="609"/>
      <c r="BD54" s="609"/>
      <c r="BE54" s="609"/>
      <c r="BF54" s="609"/>
      <c r="BG54" s="609"/>
      <c r="BH54" s="609"/>
      <c r="BI54" s="609"/>
      <c r="BJ54" s="609"/>
      <c r="BK54" s="609"/>
      <c r="BL54" s="609"/>
      <c r="BM54" s="609"/>
      <c r="BN54" s="609"/>
      <c r="BO54" s="609"/>
      <c r="BP54" s="609"/>
      <c r="BQ54" s="609"/>
      <c r="BR54" s="609"/>
      <c r="BS54" s="609"/>
      <c r="BT54" s="609"/>
      <c r="BU54" s="609"/>
    </row>
    <row r="55" spans="3:74">
      <c r="AR55" s="609"/>
      <c r="AS55" s="609"/>
      <c r="BH55" s="482"/>
      <c r="BI55" s="482"/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</row>
    <row r="56" spans="3:74">
      <c r="BH56" s="609"/>
      <c r="BI56" s="609"/>
      <c r="BJ56" s="609"/>
      <c r="BK56" s="609"/>
      <c r="BL56" s="609"/>
      <c r="BM56" s="609"/>
      <c r="BN56" s="609"/>
      <c r="BO56" s="609"/>
      <c r="BP56" s="609"/>
      <c r="BQ56" s="609"/>
      <c r="BR56" s="609"/>
      <c r="BS56" s="609"/>
      <c r="BT56" s="609"/>
      <c r="BU56" s="609"/>
    </row>
    <row r="57" spans="3:74">
      <c r="BH57" s="609"/>
      <c r="BI57" s="609"/>
      <c r="BJ57" s="609"/>
      <c r="BK57" s="609"/>
      <c r="BL57" s="609"/>
      <c r="BM57" s="609"/>
      <c r="BN57" s="609"/>
      <c r="BO57" s="609"/>
      <c r="BP57" s="609"/>
      <c r="BQ57" s="609"/>
      <c r="BR57" s="609"/>
      <c r="BS57" s="609"/>
      <c r="BT57" s="609"/>
      <c r="BU57" s="609"/>
    </row>
    <row r="58" spans="3:74">
      <c r="AR58" s="537"/>
      <c r="AS58" s="537"/>
      <c r="BH58" s="609"/>
      <c r="BI58" s="609"/>
      <c r="BJ58" s="609"/>
      <c r="BK58" s="609"/>
      <c r="BL58" s="609"/>
      <c r="BM58" s="609"/>
      <c r="BN58" s="609"/>
      <c r="BO58" s="609"/>
      <c r="BP58" s="609"/>
      <c r="BQ58" s="609"/>
      <c r="BR58" s="609"/>
      <c r="BS58" s="609"/>
      <c r="BT58" s="609"/>
      <c r="BU58" s="60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zoomScale="55" zoomScaleNormal="55" workbookViewId="0">
      <pane xSplit="2" ySplit="6" topLeftCell="X7" activePane="bottomRight" state="frozen"/>
      <selection activeCell="G53" sqref="G53"/>
      <selection pane="topRight" activeCell="G53" sqref="G53"/>
      <selection pane="bottomLeft" activeCell="G53" sqref="G53"/>
      <selection pane="bottomRight" activeCell="P23" sqref="P23"/>
    </sheetView>
  </sheetViews>
  <sheetFormatPr defaultColWidth="9.109375" defaultRowHeight="15.6"/>
  <cols>
    <col min="1" max="1" width="14.88671875" style="306" customWidth="1"/>
    <col min="2" max="2" width="93.6640625" style="109" bestFit="1" customWidth="1"/>
    <col min="3" max="3" width="25.88671875" style="109" bestFit="1" customWidth="1"/>
    <col min="4" max="4" width="25" style="109" bestFit="1" customWidth="1"/>
    <col min="5" max="5" width="21.6640625" style="109" bestFit="1" customWidth="1"/>
    <col min="6" max="6" width="25.6640625" style="109" bestFit="1" customWidth="1"/>
    <col min="7" max="7" width="19.44140625" style="109" customWidth="1"/>
    <col min="8" max="8" width="24.5546875" style="109" bestFit="1" customWidth="1"/>
    <col min="9" max="9" width="23.6640625" style="109" bestFit="1" customWidth="1"/>
    <col min="10" max="10" width="27.109375" style="109" bestFit="1" customWidth="1"/>
    <col min="11" max="12" width="21.33203125" style="109" bestFit="1" customWidth="1"/>
    <col min="13" max="13" width="22.33203125" style="109" bestFit="1" customWidth="1"/>
    <col min="14" max="14" width="27.109375" style="109" bestFit="1" customWidth="1"/>
    <col min="15" max="15" width="20.88671875" style="109" bestFit="1" customWidth="1"/>
    <col min="16" max="16" width="22.6640625" style="109" bestFit="1" customWidth="1"/>
    <col min="17" max="17" width="16.5546875" style="109" customWidth="1"/>
    <col min="18" max="18" width="23.44140625" style="109" bestFit="1" customWidth="1"/>
    <col min="19" max="19" width="22.5546875" style="109" bestFit="1" customWidth="1"/>
    <col min="20" max="20" width="24.44140625" style="109" bestFit="1" customWidth="1"/>
    <col min="21" max="21" width="27.33203125" style="109" bestFit="1" customWidth="1"/>
    <col min="22" max="22" width="25" style="109" bestFit="1" customWidth="1"/>
    <col min="23" max="23" width="21.6640625" style="109" bestFit="1" customWidth="1"/>
    <col min="24" max="24" width="26.44140625" style="109" bestFit="1" customWidth="1"/>
    <col min="25" max="25" width="21.5546875" style="109" bestFit="1" customWidth="1"/>
    <col min="26" max="27" width="22.6640625" style="109" bestFit="1" customWidth="1"/>
    <col min="28" max="28" width="19.6640625" style="109" bestFit="1" customWidth="1"/>
    <col min="29" max="29" width="24.109375" style="109" bestFit="1" customWidth="1"/>
    <col min="30" max="30" width="24.109375" style="109" customWidth="1"/>
    <col min="31" max="31" width="17.109375" style="109" bestFit="1" customWidth="1"/>
    <col min="32" max="32" width="13.6640625" style="109" bestFit="1" customWidth="1"/>
    <col min="33" max="33" width="16.109375" style="109" bestFit="1" customWidth="1"/>
    <col min="34" max="34" width="18.109375" style="109" customWidth="1"/>
    <col min="35" max="35" width="27.5546875" style="109" customWidth="1"/>
    <col min="36" max="36" width="24.5546875" style="109" bestFit="1" customWidth="1"/>
    <col min="37" max="37" width="18.5546875" style="109" bestFit="1" customWidth="1"/>
    <col min="38" max="40" width="18.44140625" style="109" customWidth="1"/>
    <col min="41" max="41" width="14.33203125" style="109" customWidth="1"/>
    <col min="42" max="42" width="20.44140625" style="109" customWidth="1"/>
    <col min="43" max="43" width="18.5546875" style="109" bestFit="1" customWidth="1"/>
    <col min="44" max="44" width="20.44140625" style="109" bestFit="1" customWidth="1"/>
    <col min="45" max="45" width="18" style="109" bestFit="1" customWidth="1"/>
    <col min="46" max="46" width="10.88671875" style="109" hidden="1" customWidth="1"/>
    <col min="47" max="47" width="14.44140625" style="109" bestFit="1" customWidth="1"/>
    <col min="48" max="48" width="11.5546875" style="109" bestFit="1" customWidth="1"/>
    <col min="49" max="16384" width="9.109375" style="109"/>
  </cols>
  <sheetData>
    <row r="1" spans="1:47">
      <c r="A1" s="280" t="s">
        <v>213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</row>
    <row r="2" spans="1:47">
      <c r="A2" s="280" t="s">
        <v>214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</row>
    <row r="3" spans="1:47" ht="16.2" thickBot="1">
      <c r="A3" s="282" t="s">
        <v>586</v>
      </c>
      <c r="B3" s="283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</row>
    <row r="4" spans="1:47">
      <c r="A4" s="641"/>
      <c r="B4" s="642"/>
      <c r="C4" s="285" t="s">
        <v>22</v>
      </c>
      <c r="D4" s="286" t="s">
        <v>23</v>
      </c>
      <c r="E4" s="286" t="s">
        <v>24</v>
      </c>
      <c r="F4" s="286" t="s">
        <v>25</v>
      </c>
      <c r="G4" s="286" t="s">
        <v>26</v>
      </c>
      <c r="H4" s="286" t="s">
        <v>27</v>
      </c>
      <c r="I4" s="286" t="s">
        <v>106</v>
      </c>
      <c r="J4" s="286" t="s">
        <v>107</v>
      </c>
      <c r="K4" s="286" t="s">
        <v>108</v>
      </c>
      <c r="L4" s="286" t="s">
        <v>109</v>
      </c>
      <c r="M4" s="286" t="s">
        <v>110</v>
      </c>
      <c r="N4" s="286" t="s">
        <v>111</v>
      </c>
      <c r="O4" s="286" t="s">
        <v>271</v>
      </c>
      <c r="P4" s="286" t="s">
        <v>28</v>
      </c>
      <c r="Q4" s="286" t="s">
        <v>112</v>
      </c>
      <c r="R4" s="286" t="s">
        <v>113</v>
      </c>
      <c r="S4" s="286" t="s">
        <v>99</v>
      </c>
      <c r="T4" s="286" t="s">
        <v>100</v>
      </c>
      <c r="U4" s="286" t="s">
        <v>114</v>
      </c>
      <c r="V4" s="287" t="s">
        <v>101</v>
      </c>
      <c r="W4" s="287" t="s">
        <v>102</v>
      </c>
      <c r="X4" s="287" t="s">
        <v>103</v>
      </c>
      <c r="Y4" s="287" t="s">
        <v>104</v>
      </c>
      <c r="Z4" s="287" t="s">
        <v>272</v>
      </c>
      <c r="AA4" s="287" t="s">
        <v>273</v>
      </c>
      <c r="AB4" s="287" t="s">
        <v>274</v>
      </c>
      <c r="AC4" s="286" t="s">
        <v>105</v>
      </c>
      <c r="AD4" s="288" t="s">
        <v>160</v>
      </c>
    </row>
    <row r="5" spans="1:47" ht="47.4" thickBot="1">
      <c r="A5" s="643" t="s">
        <v>0</v>
      </c>
      <c r="B5" s="644"/>
      <c r="C5" s="289" t="s">
        <v>284</v>
      </c>
      <c r="D5" s="290" t="s">
        <v>285</v>
      </c>
      <c r="E5" s="290" t="s">
        <v>286</v>
      </c>
      <c r="F5" s="291" t="s">
        <v>287</v>
      </c>
      <c r="G5" s="291" t="s">
        <v>288</v>
      </c>
      <c r="H5" s="291" t="s">
        <v>289</v>
      </c>
      <c r="I5" s="291" t="s">
        <v>290</v>
      </c>
      <c r="J5" s="291" t="s">
        <v>291</v>
      </c>
      <c r="K5" s="291" t="s">
        <v>292</v>
      </c>
      <c r="L5" s="291" t="s">
        <v>293</v>
      </c>
      <c r="M5" s="291" t="s">
        <v>294</v>
      </c>
      <c r="N5" s="291" t="s">
        <v>295</v>
      </c>
      <c r="O5" s="291" t="s">
        <v>296</v>
      </c>
      <c r="P5" s="291" t="s">
        <v>297</v>
      </c>
      <c r="Q5" s="291" t="s">
        <v>298</v>
      </c>
      <c r="R5" s="291" t="s">
        <v>299</v>
      </c>
      <c r="S5" s="291" t="s">
        <v>300</v>
      </c>
      <c r="T5" s="291" t="s">
        <v>301</v>
      </c>
      <c r="U5" s="291" t="s">
        <v>302</v>
      </c>
      <c r="V5" s="292" t="s">
        <v>303</v>
      </c>
      <c r="W5" s="292" t="s">
        <v>304</v>
      </c>
      <c r="X5" s="292" t="s">
        <v>305</v>
      </c>
      <c r="Y5" s="292" t="s">
        <v>306</v>
      </c>
      <c r="Z5" s="292" t="s">
        <v>307</v>
      </c>
      <c r="AA5" s="292" t="s">
        <v>308</v>
      </c>
      <c r="AB5" s="292" t="s">
        <v>309</v>
      </c>
      <c r="AC5" s="291" t="s">
        <v>189</v>
      </c>
      <c r="AD5" s="293"/>
    </row>
    <row r="6" spans="1:47" ht="16.2" thickBot="1">
      <c r="A6" s="294"/>
      <c r="B6" s="295" t="s">
        <v>237</v>
      </c>
      <c r="C6" s="296">
        <v>22559807</v>
      </c>
      <c r="D6" s="296">
        <v>754196575</v>
      </c>
      <c r="E6" s="296">
        <v>48628801</v>
      </c>
      <c r="F6" s="296">
        <v>71784505</v>
      </c>
      <c r="G6" s="296">
        <v>10065312</v>
      </c>
      <c r="H6" s="296">
        <v>3488221</v>
      </c>
      <c r="I6" s="296">
        <v>9789514</v>
      </c>
      <c r="J6" s="296">
        <v>8568414</v>
      </c>
      <c r="K6" s="296">
        <v>39152551</v>
      </c>
      <c r="L6" s="296">
        <v>467704289</v>
      </c>
      <c r="M6" s="296">
        <v>289947795</v>
      </c>
      <c r="N6" s="296">
        <v>39981076</v>
      </c>
      <c r="O6" s="296">
        <v>0</v>
      </c>
      <c r="P6" s="296">
        <v>24312359</v>
      </c>
      <c r="Q6" s="296">
        <v>8422559</v>
      </c>
      <c r="R6" s="296">
        <v>3607157</v>
      </c>
      <c r="S6" s="296">
        <v>29589697</v>
      </c>
      <c r="T6" s="296">
        <v>31490335</v>
      </c>
      <c r="U6" s="296">
        <v>7489707</v>
      </c>
      <c r="V6" s="296">
        <v>47708113</v>
      </c>
      <c r="W6" s="296">
        <v>5085190</v>
      </c>
      <c r="X6" s="296">
        <v>9399818</v>
      </c>
      <c r="Y6" s="296">
        <v>22921876</v>
      </c>
      <c r="Z6" s="296">
        <v>11560395</v>
      </c>
      <c r="AA6" s="296">
        <v>1224397</v>
      </c>
      <c r="AB6" s="296">
        <v>42532452</v>
      </c>
      <c r="AC6" s="296">
        <v>28692946</v>
      </c>
      <c r="AD6" s="297">
        <f t="shared" ref="AD6:AD30" si="0">SUM(C6:AC6)</f>
        <v>2039903861</v>
      </c>
      <c r="AF6" s="92"/>
    </row>
    <row r="7" spans="1:47">
      <c r="A7" s="428" t="s">
        <v>188</v>
      </c>
      <c r="B7" s="362" t="s">
        <v>332</v>
      </c>
      <c r="C7" s="298">
        <v>0</v>
      </c>
      <c r="D7" s="298">
        <v>9904932</v>
      </c>
      <c r="E7" s="298">
        <v>393000</v>
      </c>
      <c r="F7" s="298">
        <v>0</v>
      </c>
      <c r="G7" s="298">
        <v>0</v>
      </c>
      <c r="H7" s="298">
        <v>0</v>
      </c>
      <c r="I7" s="298">
        <v>0</v>
      </c>
      <c r="J7" s="298">
        <v>0</v>
      </c>
      <c r="K7" s="298">
        <v>0</v>
      </c>
      <c r="L7" s="298">
        <v>0</v>
      </c>
      <c r="M7" s="298">
        <v>0</v>
      </c>
      <c r="N7" s="298">
        <v>0</v>
      </c>
      <c r="O7" s="298">
        <v>0</v>
      </c>
      <c r="P7" s="298">
        <v>0</v>
      </c>
      <c r="Q7" s="298">
        <v>0</v>
      </c>
      <c r="R7" s="298">
        <v>0</v>
      </c>
      <c r="S7" s="298">
        <v>0</v>
      </c>
      <c r="T7" s="298">
        <v>0</v>
      </c>
      <c r="U7" s="298">
        <v>0</v>
      </c>
      <c r="V7" s="298">
        <v>0</v>
      </c>
      <c r="W7" s="298">
        <v>0</v>
      </c>
      <c r="X7" s="298">
        <v>0</v>
      </c>
      <c r="Y7" s="298">
        <v>0</v>
      </c>
      <c r="Z7" s="298">
        <v>0</v>
      </c>
      <c r="AA7" s="298">
        <v>0</v>
      </c>
      <c r="AB7" s="298">
        <v>0</v>
      </c>
      <c r="AC7" s="298">
        <v>0</v>
      </c>
      <c r="AD7" s="299">
        <f t="shared" si="0"/>
        <v>10297932</v>
      </c>
    </row>
    <row r="8" spans="1:47">
      <c r="A8" s="428" t="s">
        <v>211</v>
      </c>
      <c r="B8" s="362" t="s">
        <v>331</v>
      </c>
      <c r="C8" s="298">
        <v>0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298">
        <v>0</v>
      </c>
      <c r="L8" s="298">
        <v>0</v>
      </c>
      <c r="M8" s="298">
        <v>0</v>
      </c>
      <c r="N8" s="298">
        <v>0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v>0</v>
      </c>
      <c r="V8" s="298">
        <v>0</v>
      </c>
      <c r="W8" s="298">
        <v>0</v>
      </c>
      <c r="X8" s="298">
        <v>0</v>
      </c>
      <c r="Y8" s="298">
        <v>0</v>
      </c>
      <c r="Z8" s="298">
        <v>0</v>
      </c>
      <c r="AA8" s="298">
        <v>0</v>
      </c>
      <c r="AB8" s="298">
        <v>0</v>
      </c>
      <c r="AC8" s="298">
        <v>0</v>
      </c>
      <c r="AD8" s="299">
        <f t="shared" si="0"/>
        <v>0</v>
      </c>
    </row>
    <row r="9" spans="1:47">
      <c r="A9" s="429" t="s">
        <v>208</v>
      </c>
      <c r="B9" s="393" t="s">
        <v>334</v>
      </c>
      <c r="C9" s="298">
        <v>0</v>
      </c>
      <c r="D9" s="298">
        <v>0</v>
      </c>
      <c r="E9" s="298">
        <v>-300000</v>
      </c>
      <c r="F9" s="298">
        <v>0</v>
      </c>
      <c r="G9" s="298">
        <v>0</v>
      </c>
      <c r="H9" s="298">
        <v>789937</v>
      </c>
      <c r="I9" s="298">
        <v>0</v>
      </c>
      <c r="J9" s="298">
        <v>0</v>
      </c>
      <c r="K9" s="298">
        <v>-789937</v>
      </c>
      <c r="L9" s="298">
        <v>0</v>
      </c>
      <c r="M9" s="298">
        <v>0</v>
      </c>
      <c r="N9" s="298">
        <v>0</v>
      </c>
      <c r="O9" s="298">
        <v>300000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  <c r="Y9" s="298">
        <v>0</v>
      </c>
      <c r="Z9" s="298">
        <v>0</v>
      </c>
      <c r="AA9" s="298">
        <v>0</v>
      </c>
      <c r="AB9" s="298">
        <v>0</v>
      </c>
      <c r="AC9" s="298">
        <v>0</v>
      </c>
      <c r="AD9" s="299">
        <f t="shared" si="0"/>
        <v>0</v>
      </c>
    </row>
    <row r="10" spans="1:47">
      <c r="A10" s="430" t="s">
        <v>209</v>
      </c>
      <c r="B10" s="300" t="s">
        <v>312</v>
      </c>
      <c r="C10" s="298">
        <v>0</v>
      </c>
      <c r="D10" s="298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0</v>
      </c>
      <c r="J10" s="298">
        <v>0</v>
      </c>
      <c r="K10" s="298">
        <v>0</v>
      </c>
      <c r="L10" s="298">
        <v>0</v>
      </c>
      <c r="M10" s="298">
        <v>0</v>
      </c>
      <c r="N10" s="298">
        <v>0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298">
        <v>0</v>
      </c>
      <c r="Z10" s="298">
        <v>0</v>
      </c>
      <c r="AA10" s="298">
        <v>0</v>
      </c>
      <c r="AB10" s="298">
        <v>0</v>
      </c>
      <c r="AC10" s="298">
        <v>0</v>
      </c>
      <c r="AD10" s="299">
        <f t="shared" si="0"/>
        <v>0</v>
      </c>
    </row>
    <row r="11" spans="1:47">
      <c r="A11" s="430" t="s">
        <v>187</v>
      </c>
      <c r="B11" s="300" t="s">
        <v>310</v>
      </c>
      <c r="C11" s="298">
        <v>0</v>
      </c>
      <c r="D11" s="298">
        <v>-4349459</v>
      </c>
      <c r="E11" s="298">
        <v>1124834</v>
      </c>
      <c r="F11" s="298">
        <v>0</v>
      </c>
      <c r="G11" s="298">
        <v>-283391</v>
      </c>
      <c r="H11" s="298">
        <v>0</v>
      </c>
      <c r="I11" s="298">
        <v>127975</v>
      </c>
      <c r="J11" s="298">
        <v>0</v>
      </c>
      <c r="K11" s="298">
        <v>436500</v>
      </c>
      <c r="L11" s="298">
        <v>0</v>
      </c>
      <c r="M11" s="298">
        <v>0</v>
      </c>
      <c r="N11" s="298">
        <v>0</v>
      </c>
      <c r="O11" s="298">
        <v>0</v>
      </c>
      <c r="P11" s="298">
        <v>0</v>
      </c>
      <c r="Q11" s="298">
        <v>0</v>
      </c>
      <c r="R11" s="298">
        <v>237846</v>
      </c>
      <c r="S11" s="298">
        <v>0</v>
      </c>
      <c r="T11" s="298">
        <v>1321411</v>
      </c>
      <c r="U11" s="298">
        <v>27666</v>
      </c>
      <c r="V11" s="298">
        <v>0</v>
      </c>
      <c r="W11" s="298">
        <v>0</v>
      </c>
      <c r="X11" s="298">
        <v>0</v>
      </c>
      <c r="Y11" s="298">
        <v>-41</v>
      </c>
      <c r="Z11" s="298">
        <v>0</v>
      </c>
      <c r="AA11" s="298">
        <v>0</v>
      </c>
      <c r="AB11" s="298">
        <v>0</v>
      </c>
      <c r="AC11" s="298">
        <v>0</v>
      </c>
      <c r="AD11" s="299">
        <f t="shared" si="0"/>
        <v>-1356659</v>
      </c>
    </row>
    <row r="12" spans="1:47">
      <c r="A12" s="430" t="s">
        <v>210</v>
      </c>
      <c r="B12" s="300" t="s">
        <v>329</v>
      </c>
      <c r="C12" s="298">
        <v>87379</v>
      </c>
      <c r="D12" s="298">
        <v>-2721229</v>
      </c>
      <c r="E12" s="298">
        <v>-3670673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98">
        <v>45986</v>
      </c>
      <c r="L12" s="298">
        <v>0</v>
      </c>
      <c r="M12" s="298">
        <v>0</v>
      </c>
      <c r="N12" s="298">
        <v>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-452434</v>
      </c>
      <c r="W12" s="298">
        <v>-6514</v>
      </c>
      <c r="X12" s="298">
        <v>0</v>
      </c>
      <c r="Y12" s="298">
        <v>-655673</v>
      </c>
      <c r="Z12" s="298">
        <v>-267179</v>
      </c>
      <c r="AA12" s="298">
        <v>-101030</v>
      </c>
      <c r="AB12" s="298">
        <v>-560668</v>
      </c>
      <c r="AC12" s="298">
        <v>422697</v>
      </c>
      <c r="AD12" s="299">
        <f t="shared" si="0"/>
        <v>-7879338</v>
      </c>
    </row>
    <row r="13" spans="1:47">
      <c r="A13" s="430" t="s">
        <v>168</v>
      </c>
      <c r="B13" s="300" t="s">
        <v>333</v>
      </c>
      <c r="C13" s="298">
        <v>0</v>
      </c>
      <c r="D13" s="298">
        <v>803696</v>
      </c>
      <c r="E13" s="298">
        <v>78224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0</v>
      </c>
      <c r="N13" s="298">
        <v>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8">
        <v>0</v>
      </c>
      <c r="AB13" s="298">
        <v>0</v>
      </c>
      <c r="AC13" s="298">
        <v>0</v>
      </c>
      <c r="AD13" s="299">
        <f t="shared" si="0"/>
        <v>881920</v>
      </c>
    </row>
    <row r="14" spans="1:47">
      <c r="A14" s="430" t="s">
        <v>338</v>
      </c>
      <c r="B14" s="300" t="s">
        <v>339</v>
      </c>
      <c r="C14" s="298">
        <v>-97984</v>
      </c>
      <c r="D14" s="298">
        <v>0</v>
      </c>
      <c r="E14" s="298">
        <v>-1689668</v>
      </c>
      <c r="F14" s="298">
        <v>0</v>
      </c>
      <c r="G14" s="298">
        <v>0</v>
      </c>
      <c r="H14" s="298">
        <v>0</v>
      </c>
      <c r="I14" s="298">
        <v>0</v>
      </c>
      <c r="J14" s="298">
        <v>0</v>
      </c>
      <c r="K14" s="298">
        <v>0</v>
      </c>
      <c r="L14" s="298">
        <v>0</v>
      </c>
      <c r="M14" s="298">
        <v>0</v>
      </c>
      <c r="N14" s="298">
        <v>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-5716</v>
      </c>
      <c r="V14" s="298">
        <v>0</v>
      </c>
      <c r="W14" s="298">
        <v>-572199</v>
      </c>
      <c r="X14" s="298">
        <v>0</v>
      </c>
      <c r="Y14" s="298">
        <v>303412</v>
      </c>
      <c r="Z14" s="298">
        <v>1301080</v>
      </c>
      <c r="AA14" s="298">
        <v>293654</v>
      </c>
      <c r="AB14" s="298">
        <v>504134</v>
      </c>
      <c r="AC14" s="298">
        <v>0</v>
      </c>
      <c r="AD14" s="299">
        <f t="shared" si="0"/>
        <v>36713</v>
      </c>
    </row>
    <row r="15" spans="1:47">
      <c r="A15" s="430" t="s">
        <v>337</v>
      </c>
      <c r="B15" s="300" t="s">
        <v>340</v>
      </c>
      <c r="C15" s="298">
        <v>0</v>
      </c>
      <c r="D15" s="298">
        <v>-5756192</v>
      </c>
      <c r="E15" s="298">
        <v>171126</v>
      </c>
      <c r="F15" s="298">
        <v>0</v>
      </c>
      <c r="G15" s="298">
        <v>0</v>
      </c>
      <c r="H15" s="298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-10216</v>
      </c>
      <c r="W15" s="298">
        <v>1</v>
      </c>
      <c r="X15" s="298">
        <v>0</v>
      </c>
      <c r="Y15" s="298">
        <v>3212679</v>
      </c>
      <c r="Z15" s="298">
        <v>218182</v>
      </c>
      <c r="AA15" s="298">
        <v>0</v>
      </c>
      <c r="AB15" s="298">
        <v>1338960</v>
      </c>
      <c r="AC15" s="298">
        <v>787929</v>
      </c>
      <c r="AD15" s="299">
        <f t="shared" si="0"/>
        <v>-37531</v>
      </c>
    </row>
    <row r="16" spans="1:47">
      <c r="A16" s="430" t="s">
        <v>212</v>
      </c>
      <c r="B16" s="300" t="s">
        <v>362</v>
      </c>
      <c r="C16" s="298">
        <v>0</v>
      </c>
      <c r="D16" s="298">
        <v>-792818</v>
      </c>
      <c r="E16" s="298">
        <v>-80022</v>
      </c>
      <c r="F16" s="298">
        <v>0</v>
      </c>
      <c r="G16" s="298">
        <v>0</v>
      </c>
      <c r="H16" s="298">
        <v>0</v>
      </c>
      <c r="I16" s="298">
        <v>-4000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54845</v>
      </c>
      <c r="W16" s="298">
        <v>0</v>
      </c>
      <c r="X16" s="298">
        <v>15000</v>
      </c>
      <c r="Y16" s="298">
        <v>489614</v>
      </c>
      <c r="Z16" s="298">
        <v>0</v>
      </c>
      <c r="AA16" s="298">
        <v>0</v>
      </c>
      <c r="AB16" s="298">
        <v>500000</v>
      </c>
      <c r="AC16" s="298">
        <v>0</v>
      </c>
      <c r="AD16" s="299">
        <f t="shared" si="0"/>
        <v>182619</v>
      </c>
    </row>
    <row r="17" spans="1:34" ht="15.6" customHeight="1">
      <c r="A17" s="432" t="s">
        <v>255</v>
      </c>
      <c r="B17" s="300" t="s">
        <v>431</v>
      </c>
      <c r="C17" s="298">
        <v>0</v>
      </c>
      <c r="D17" s="298">
        <v>-20000000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6939923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299">
        <f t="shared" si="0"/>
        <v>-13060077</v>
      </c>
    </row>
    <row r="18" spans="1:34" ht="15.6" customHeight="1">
      <c r="A18" s="432" t="s">
        <v>422</v>
      </c>
      <c r="B18" s="300" t="s">
        <v>464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  <c r="I18" s="298">
        <v>0</v>
      </c>
      <c r="J18" s="298">
        <v>0</v>
      </c>
      <c r="K18" s="298">
        <v>0</v>
      </c>
      <c r="L18" s="298">
        <v>-33884213</v>
      </c>
      <c r="M18" s="298">
        <v>0</v>
      </c>
      <c r="N18" s="298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0</v>
      </c>
      <c r="AD18" s="299">
        <f t="shared" si="0"/>
        <v>-33884213</v>
      </c>
    </row>
    <row r="19" spans="1:34" ht="15.6" customHeight="1">
      <c r="A19" s="432" t="s">
        <v>468</v>
      </c>
      <c r="B19" s="300" t="s">
        <v>471</v>
      </c>
      <c r="C19" s="298">
        <v>0</v>
      </c>
      <c r="D19" s="298">
        <v>0</v>
      </c>
      <c r="E19" s="298">
        <v>0</v>
      </c>
      <c r="F19" s="298">
        <v>0</v>
      </c>
      <c r="G19" s="298">
        <v>0</v>
      </c>
      <c r="H19" s="298">
        <v>0</v>
      </c>
      <c r="I19" s="298">
        <v>0</v>
      </c>
      <c r="J19" s="298">
        <v>0</v>
      </c>
      <c r="K19" s="298">
        <v>0</v>
      </c>
      <c r="L19" s="298">
        <v>8000000</v>
      </c>
      <c r="M19" s="298">
        <v>0</v>
      </c>
      <c r="N19" s="298">
        <v>-8000000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298">
        <v>0</v>
      </c>
      <c r="Z19" s="298">
        <v>0</v>
      </c>
      <c r="AA19" s="298">
        <v>0</v>
      </c>
      <c r="AB19" s="298">
        <v>0</v>
      </c>
      <c r="AC19" s="298">
        <v>0</v>
      </c>
      <c r="AD19" s="299">
        <f t="shared" si="0"/>
        <v>0</v>
      </c>
    </row>
    <row r="20" spans="1:34" ht="15.6" customHeight="1">
      <c r="A20" s="432" t="s">
        <v>353</v>
      </c>
      <c r="B20" s="300" t="s">
        <v>470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8000000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  <c r="Y20" s="298">
        <v>0</v>
      </c>
      <c r="Z20" s="298">
        <v>0</v>
      </c>
      <c r="AA20" s="298">
        <v>0</v>
      </c>
      <c r="AB20" s="298">
        <v>0</v>
      </c>
      <c r="AC20" s="298">
        <v>0</v>
      </c>
      <c r="AD20" s="299">
        <f t="shared" si="0"/>
        <v>8000000</v>
      </c>
    </row>
    <row r="21" spans="1:34" ht="15.6" customHeight="1">
      <c r="A21" s="432" t="s">
        <v>217</v>
      </c>
      <c r="B21" s="300" t="s">
        <v>472</v>
      </c>
      <c r="C21" s="298">
        <v>0</v>
      </c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-8000000</v>
      </c>
      <c r="M21" s="298">
        <v>0</v>
      </c>
      <c r="N21" s="298">
        <v>0</v>
      </c>
      <c r="O21" s="298">
        <v>0</v>
      </c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  <c r="Y21" s="298">
        <v>0</v>
      </c>
      <c r="Z21" s="298">
        <v>0</v>
      </c>
      <c r="AA21" s="298">
        <v>0</v>
      </c>
      <c r="AB21" s="298">
        <v>0</v>
      </c>
      <c r="AC21" s="298">
        <v>0</v>
      </c>
      <c r="AD21" s="299">
        <f t="shared" si="0"/>
        <v>-8000000</v>
      </c>
    </row>
    <row r="22" spans="1:34" ht="15.6" customHeight="1">
      <c r="A22" s="432" t="s">
        <v>256</v>
      </c>
      <c r="B22" s="155" t="s">
        <v>483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8">
        <v>0</v>
      </c>
      <c r="Q22" s="298">
        <v>0</v>
      </c>
      <c r="R22" s="298">
        <v>-9700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298">
        <v>0</v>
      </c>
      <c r="Z22" s="298">
        <v>0</v>
      </c>
      <c r="AA22" s="298">
        <v>0</v>
      </c>
      <c r="AB22" s="298">
        <v>0</v>
      </c>
      <c r="AC22" s="298">
        <v>0</v>
      </c>
      <c r="AD22" s="299">
        <f t="shared" ref="AD22" si="1">SUM(C22:AC22)</f>
        <v>-9700</v>
      </c>
    </row>
    <row r="23" spans="1:34" ht="15.6" customHeight="1">
      <c r="A23" s="432" t="s">
        <v>523</v>
      </c>
      <c r="B23" s="155" t="s">
        <v>524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  <c r="I23" s="298">
        <v>0</v>
      </c>
      <c r="J23" s="298">
        <v>0</v>
      </c>
      <c r="K23" s="298">
        <v>0</v>
      </c>
      <c r="L23" s="298">
        <v>0</v>
      </c>
      <c r="M23" s="298">
        <v>0</v>
      </c>
      <c r="N23" s="298">
        <v>0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298">
        <v>0</v>
      </c>
      <c r="Z23" s="298">
        <v>0</v>
      </c>
      <c r="AA23" s="298">
        <v>0</v>
      </c>
      <c r="AB23" s="298">
        <v>0</v>
      </c>
      <c r="AC23" s="298">
        <v>6899004</v>
      </c>
      <c r="AD23" s="299">
        <f t="shared" ref="AD23" si="2">SUM(C23:AC23)</f>
        <v>6899004</v>
      </c>
    </row>
    <row r="24" spans="1:34" ht="15.6" customHeight="1">
      <c r="A24" s="432" t="s">
        <v>421</v>
      </c>
      <c r="B24" s="300" t="s">
        <v>460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  <c r="I24" s="298">
        <v>0</v>
      </c>
      <c r="J24" s="298">
        <v>0</v>
      </c>
      <c r="K24" s="298">
        <v>0</v>
      </c>
      <c r="L24" s="298">
        <v>0</v>
      </c>
      <c r="M24" s="298">
        <v>0</v>
      </c>
      <c r="N24" s="298">
        <v>0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Y24" s="298">
        <v>14306</v>
      </c>
      <c r="Z24" s="298">
        <v>431874</v>
      </c>
      <c r="AA24" s="298">
        <v>-318773</v>
      </c>
      <c r="AB24" s="298">
        <v>-127407</v>
      </c>
      <c r="AC24" s="298">
        <v>0</v>
      </c>
      <c r="AD24" s="299">
        <f t="shared" si="0"/>
        <v>0</v>
      </c>
    </row>
    <row r="25" spans="1:34" ht="15.6" customHeight="1">
      <c r="A25" s="473" t="s">
        <v>559</v>
      </c>
      <c r="B25" s="474" t="s">
        <v>560</v>
      </c>
      <c r="C25" s="298">
        <v>0</v>
      </c>
      <c r="D25" s="298">
        <v>0</v>
      </c>
      <c r="E25" s="298">
        <v>0</v>
      </c>
      <c r="F25" s="298">
        <v>5000000</v>
      </c>
      <c r="G25" s="298">
        <v>4908619</v>
      </c>
      <c r="H25" s="298">
        <v>0</v>
      </c>
      <c r="I25" s="298">
        <v>0</v>
      </c>
      <c r="J25" s="298">
        <v>10550475</v>
      </c>
      <c r="K25" s="298">
        <v>5792750</v>
      </c>
      <c r="L25" s="298">
        <v>88585541</v>
      </c>
      <c r="M25" s="298">
        <v>0</v>
      </c>
      <c r="N25" s="298">
        <v>-1647447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  <c r="Y25" s="298">
        <v>0</v>
      </c>
      <c r="Z25" s="298">
        <v>0</v>
      </c>
      <c r="AA25" s="298">
        <v>0</v>
      </c>
      <c r="AB25" s="298">
        <v>0</v>
      </c>
      <c r="AC25" s="298">
        <v>0</v>
      </c>
      <c r="AD25" s="299">
        <f t="shared" si="0"/>
        <v>113189938</v>
      </c>
    </row>
    <row r="26" spans="1:34" ht="15.6" customHeight="1">
      <c r="A26" s="473"/>
      <c r="B26" s="474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6"/>
    </row>
    <row r="27" spans="1:34" ht="16.2" thickBot="1">
      <c r="A27" s="394"/>
      <c r="B27" s="395" t="s">
        <v>154</v>
      </c>
      <c r="C27" s="396">
        <f t="shared" ref="C27:AC27" si="3">SUM(C7:C25)</f>
        <v>-10605</v>
      </c>
      <c r="D27" s="396">
        <f t="shared" si="3"/>
        <v>-22911070</v>
      </c>
      <c r="E27" s="396">
        <f t="shared" si="3"/>
        <v>-3973179</v>
      </c>
      <c r="F27" s="396">
        <f t="shared" si="3"/>
        <v>5000000</v>
      </c>
      <c r="G27" s="396">
        <f t="shared" si="3"/>
        <v>4625228</v>
      </c>
      <c r="H27" s="396">
        <f t="shared" si="3"/>
        <v>789937</v>
      </c>
      <c r="I27" s="396">
        <f t="shared" si="3"/>
        <v>123975</v>
      </c>
      <c r="J27" s="396">
        <f t="shared" si="3"/>
        <v>10550475</v>
      </c>
      <c r="K27" s="396">
        <f t="shared" si="3"/>
        <v>5485299</v>
      </c>
      <c r="L27" s="396">
        <f t="shared" si="3"/>
        <v>54701328</v>
      </c>
      <c r="M27" s="396">
        <f t="shared" si="3"/>
        <v>0</v>
      </c>
      <c r="N27" s="396">
        <f t="shared" si="3"/>
        <v>-1647447</v>
      </c>
      <c r="O27" s="396">
        <f t="shared" si="3"/>
        <v>7239923</v>
      </c>
      <c r="P27" s="396">
        <f t="shared" si="3"/>
        <v>0</v>
      </c>
      <c r="Q27" s="396">
        <f t="shared" si="3"/>
        <v>0</v>
      </c>
      <c r="R27" s="396">
        <f t="shared" si="3"/>
        <v>228146</v>
      </c>
      <c r="S27" s="396">
        <f t="shared" si="3"/>
        <v>0</v>
      </c>
      <c r="T27" s="396">
        <f t="shared" si="3"/>
        <v>1321411</v>
      </c>
      <c r="U27" s="396">
        <f t="shared" si="3"/>
        <v>21950</v>
      </c>
      <c r="V27" s="396">
        <f t="shared" si="3"/>
        <v>-407805</v>
      </c>
      <c r="W27" s="396">
        <f t="shared" si="3"/>
        <v>-578712</v>
      </c>
      <c r="X27" s="396">
        <f t="shared" si="3"/>
        <v>15000</v>
      </c>
      <c r="Y27" s="396">
        <f t="shared" si="3"/>
        <v>3364297</v>
      </c>
      <c r="Z27" s="396">
        <f t="shared" si="3"/>
        <v>1683957</v>
      </c>
      <c r="AA27" s="396">
        <f t="shared" si="3"/>
        <v>-126149</v>
      </c>
      <c r="AB27" s="396">
        <f t="shared" si="3"/>
        <v>1655019</v>
      </c>
      <c r="AC27" s="396">
        <f t="shared" si="3"/>
        <v>8109630</v>
      </c>
      <c r="AD27" s="431">
        <f>SUM(AD7:AD25)</f>
        <v>75260608</v>
      </c>
      <c r="AG27" s="92"/>
    </row>
    <row r="28" spans="1:34" ht="16.2">
      <c r="A28" s="302"/>
      <c r="B28" s="303" t="s">
        <v>4</v>
      </c>
      <c r="C28" s="298">
        <v>9582543</v>
      </c>
      <c r="D28" s="298">
        <v>508249060</v>
      </c>
      <c r="E28" s="298">
        <v>19506548</v>
      </c>
      <c r="F28" s="298">
        <v>41967762</v>
      </c>
      <c r="G28" s="298">
        <v>9648568</v>
      </c>
      <c r="H28" s="298">
        <v>2239291</v>
      </c>
      <c r="I28" s="298">
        <v>1229130</v>
      </c>
      <c r="J28" s="298">
        <v>18469436</v>
      </c>
      <c r="K28" s="298">
        <v>26470342</v>
      </c>
      <c r="L28" s="298">
        <v>231824686</v>
      </c>
      <c r="M28" s="298">
        <v>145780185</v>
      </c>
      <c r="N28" s="298">
        <v>27542991</v>
      </c>
      <c r="O28" s="298">
        <v>6016600</v>
      </c>
      <c r="P28" s="298">
        <v>20809789</v>
      </c>
      <c r="Q28" s="298">
        <v>6160952</v>
      </c>
      <c r="R28" s="298">
        <v>3764</v>
      </c>
      <c r="S28" s="298">
        <v>29589697</v>
      </c>
      <c r="T28" s="298">
        <v>3217669</v>
      </c>
      <c r="U28" s="298">
        <v>4675925</v>
      </c>
      <c r="V28" s="298">
        <v>32404116</v>
      </c>
      <c r="W28" s="298">
        <v>2507845</v>
      </c>
      <c r="X28" s="298">
        <v>2474761</v>
      </c>
      <c r="Y28" s="298">
        <v>14879931</v>
      </c>
      <c r="Z28" s="298">
        <v>7658359</v>
      </c>
      <c r="AA28" s="298">
        <v>287256</v>
      </c>
      <c r="AB28" s="298">
        <v>27040445</v>
      </c>
      <c r="AC28" s="298">
        <v>26929673</v>
      </c>
      <c r="AD28" s="299">
        <f t="shared" si="0"/>
        <v>1227167324</v>
      </c>
      <c r="AF28" s="92"/>
      <c r="AH28" s="92"/>
    </row>
    <row r="29" spans="1:34" ht="16.2">
      <c r="A29" s="302"/>
      <c r="B29" s="304" t="s">
        <v>215</v>
      </c>
      <c r="C29" s="298">
        <v>12966659</v>
      </c>
      <c r="D29" s="298">
        <v>217263223</v>
      </c>
      <c r="E29" s="298">
        <v>25128119</v>
      </c>
      <c r="F29" s="298">
        <v>34816743</v>
      </c>
      <c r="G29" s="298">
        <v>5041972</v>
      </c>
      <c r="H29" s="298">
        <v>2038867</v>
      </c>
      <c r="I29" s="298">
        <v>8683359</v>
      </c>
      <c r="J29" s="298">
        <v>649453</v>
      </c>
      <c r="K29" s="298">
        <v>18167508</v>
      </c>
      <c r="L29" s="298">
        <v>289598431</v>
      </c>
      <c r="M29" s="298">
        <v>144167610</v>
      </c>
      <c r="N29" s="298">
        <v>10790638</v>
      </c>
      <c r="O29" s="298">
        <v>1223323</v>
      </c>
      <c r="P29" s="298">
        <v>3502570</v>
      </c>
      <c r="Q29" s="298">
        <v>2261607</v>
      </c>
      <c r="R29" s="298">
        <v>3831539</v>
      </c>
      <c r="S29" s="298">
        <v>0</v>
      </c>
      <c r="T29" s="298">
        <v>29594077</v>
      </c>
      <c r="U29" s="298">
        <v>2835732</v>
      </c>
      <c r="V29" s="298">
        <v>14841347</v>
      </c>
      <c r="W29" s="298">
        <v>1973633</v>
      </c>
      <c r="X29" s="298">
        <v>6925057</v>
      </c>
      <c r="Y29" s="298">
        <v>10916628</v>
      </c>
      <c r="Z29" s="298">
        <v>5524558</v>
      </c>
      <c r="AA29" s="298">
        <v>810992</v>
      </c>
      <c r="AB29" s="298">
        <v>16647026</v>
      </c>
      <c r="AC29" s="298">
        <v>9872903</v>
      </c>
      <c r="AD29" s="299">
        <f t="shared" si="0"/>
        <v>880073574</v>
      </c>
      <c r="AF29" s="92"/>
      <c r="AH29" s="92"/>
    </row>
    <row r="30" spans="1:34" ht="16.8" thickBot="1">
      <c r="A30" s="302"/>
      <c r="B30" s="304" t="s">
        <v>34</v>
      </c>
      <c r="C30" s="298">
        <v>0</v>
      </c>
      <c r="D30" s="298">
        <v>5773222</v>
      </c>
      <c r="E30" s="298">
        <v>20955</v>
      </c>
      <c r="F30" s="298">
        <v>0</v>
      </c>
      <c r="G30" s="298">
        <v>0</v>
      </c>
      <c r="H30" s="298">
        <v>0</v>
      </c>
      <c r="I30" s="298">
        <v>1000</v>
      </c>
      <c r="J30" s="298">
        <v>0</v>
      </c>
      <c r="K30" s="298">
        <v>0</v>
      </c>
      <c r="L30" s="298">
        <v>982500</v>
      </c>
      <c r="M30" s="298">
        <v>0</v>
      </c>
      <c r="N30" s="298">
        <v>0</v>
      </c>
      <c r="O30" s="298">
        <v>0</v>
      </c>
      <c r="P30" s="298">
        <v>0</v>
      </c>
      <c r="Q30" s="298">
        <v>0</v>
      </c>
      <c r="R30" s="298">
        <v>0</v>
      </c>
      <c r="S30" s="298">
        <v>0</v>
      </c>
      <c r="T30" s="298">
        <v>0</v>
      </c>
      <c r="U30" s="298">
        <v>0</v>
      </c>
      <c r="V30" s="298">
        <v>54845</v>
      </c>
      <c r="W30" s="298">
        <v>25000</v>
      </c>
      <c r="X30" s="298">
        <v>15000</v>
      </c>
      <c r="Y30" s="298">
        <v>489614</v>
      </c>
      <c r="Z30" s="298">
        <v>61435</v>
      </c>
      <c r="AA30" s="298">
        <v>0</v>
      </c>
      <c r="AB30" s="298">
        <v>500000</v>
      </c>
      <c r="AC30" s="298">
        <v>0</v>
      </c>
      <c r="AD30" s="299">
        <f t="shared" si="0"/>
        <v>7923571</v>
      </c>
      <c r="AF30" s="92"/>
      <c r="AH30" s="92"/>
    </row>
    <row r="31" spans="1:34" ht="16.2" thickBot="1">
      <c r="A31" s="305"/>
      <c r="B31" s="301" t="s">
        <v>238</v>
      </c>
      <c r="C31" s="331">
        <f t="shared" ref="C31:AD31" si="4">C27+C6</f>
        <v>22549202</v>
      </c>
      <c r="D31" s="331">
        <f t="shared" si="4"/>
        <v>731285505</v>
      </c>
      <c r="E31" s="331">
        <f t="shared" si="4"/>
        <v>44655622</v>
      </c>
      <c r="F31" s="331">
        <f t="shared" si="4"/>
        <v>76784505</v>
      </c>
      <c r="G31" s="331">
        <f t="shared" si="4"/>
        <v>14690540</v>
      </c>
      <c r="H31" s="331">
        <f t="shared" si="4"/>
        <v>4278158</v>
      </c>
      <c r="I31" s="331">
        <f t="shared" si="4"/>
        <v>9913489</v>
      </c>
      <c r="J31" s="331">
        <f t="shared" si="4"/>
        <v>19118889</v>
      </c>
      <c r="K31" s="331">
        <f t="shared" si="4"/>
        <v>44637850</v>
      </c>
      <c r="L31" s="331">
        <f t="shared" si="4"/>
        <v>522405617</v>
      </c>
      <c r="M31" s="331">
        <f t="shared" si="4"/>
        <v>289947795</v>
      </c>
      <c r="N31" s="331">
        <f t="shared" si="4"/>
        <v>38333629</v>
      </c>
      <c r="O31" s="331">
        <f t="shared" si="4"/>
        <v>7239923</v>
      </c>
      <c r="P31" s="331">
        <f t="shared" si="4"/>
        <v>24312359</v>
      </c>
      <c r="Q31" s="331">
        <f t="shared" si="4"/>
        <v>8422559</v>
      </c>
      <c r="R31" s="331">
        <f t="shared" si="4"/>
        <v>3835303</v>
      </c>
      <c r="S31" s="331">
        <f t="shared" si="4"/>
        <v>29589697</v>
      </c>
      <c r="T31" s="331">
        <f t="shared" si="4"/>
        <v>32811746</v>
      </c>
      <c r="U31" s="331">
        <f t="shared" si="4"/>
        <v>7511657</v>
      </c>
      <c r="V31" s="331">
        <f t="shared" si="4"/>
        <v>47300308</v>
      </c>
      <c r="W31" s="331">
        <f t="shared" si="4"/>
        <v>4506478</v>
      </c>
      <c r="X31" s="331">
        <f t="shared" si="4"/>
        <v>9414818</v>
      </c>
      <c r="Y31" s="331">
        <f t="shared" si="4"/>
        <v>26286173</v>
      </c>
      <c r="Z31" s="331">
        <f t="shared" si="4"/>
        <v>13244352</v>
      </c>
      <c r="AA31" s="331">
        <f t="shared" si="4"/>
        <v>1098248</v>
      </c>
      <c r="AB31" s="331">
        <f t="shared" si="4"/>
        <v>44187471</v>
      </c>
      <c r="AC31" s="331">
        <f t="shared" si="4"/>
        <v>36802576</v>
      </c>
      <c r="AD31" s="372">
        <f t="shared" si="4"/>
        <v>2115164469</v>
      </c>
      <c r="AG31" s="92"/>
    </row>
    <row r="32" spans="1:34" s="368" customFormat="1">
      <c r="A32" s="17"/>
      <c r="B32" s="17"/>
      <c r="C32" s="123"/>
      <c r="D32" s="423"/>
      <c r="E32" s="424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4"/>
      <c r="R32" s="423"/>
      <c r="S32" s="423"/>
      <c r="T32" s="423"/>
      <c r="U32" s="423"/>
      <c r="V32" s="92"/>
      <c r="W32" s="92"/>
      <c r="X32" s="92"/>
      <c r="Y32" s="92"/>
      <c r="Z32" s="92"/>
      <c r="AA32" s="92"/>
      <c r="AB32" s="92"/>
      <c r="AC32" s="123"/>
      <c r="AD32" s="123"/>
      <c r="AE32" s="109"/>
      <c r="AF32" s="109"/>
      <c r="AG32" s="367"/>
      <c r="AH32" s="367"/>
    </row>
    <row r="33" spans="1:32">
      <c r="A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2">
      <c r="A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2">
      <c r="A35" s="109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92"/>
    </row>
    <row r="36" spans="1:32">
      <c r="A36" s="109"/>
    </row>
    <row r="37" spans="1:32">
      <c r="A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</row>
    <row r="38" spans="1:32">
      <c r="A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</row>
    <row r="39" spans="1:32">
      <c r="A39" s="10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2">
      <c r="A40" s="109"/>
    </row>
    <row r="41" spans="1:32">
      <c r="A41" s="109"/>
    </row>
    <row r="42" spans="1:32">
      <c r="A42" s="109"/>
    </row>
    <row r="43" spans="1:32">
      <c r="A43" s="109"/>
    </row>
    <row r="44" spans="1:32">
      <c r="A44" s="109"/>
    </row>
    <row r="45" spans="1:32">
      <c r="A45" s="109"/>
    </row>
    <row r="46" spans="1:32" s="105" customFormat="1">
      <c r="A46" s="306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</row>
    <row r="47" spans="1:32" s="105" customFormat="1">
      <c r="A47" s="306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</row>
    <row r="48" spans="1:32" s="307" customFormat="1">
      <c r="A48" s="306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</row>
    <row r="49" spans="1:30" s="307" customFormat="1">
      <c r="A49" s="30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</row>
    <row r="50" spans="1:30" s="307" customFormat="1">
      <c r="A50" s="30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</row>
    <row r="51" spans="1:30" s="279" customFormat="1">
      <c r="A51" s="306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</row>
    <row r="73" spans="31:31">
      <c r="AE73" s="308"/>
    </row>
    <row r="74" spans="31:31">
      <c r="AE74" s="308"/>
    </row>
    <row r="75" spans="31:31">
      <c r="AE75" s="308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70" zoomScaleNormal="70" zoomScaleSheetLayoutView="70" workbookViewId="0">
      <pane xSplit="3" ySplit="4" topLeftCell="D29" activePane="bottomRight" state="frozen"/>
      <selection activeCell="G35" sqref="G35"/>
      <selection pane="topRight" activeCell="G35" sqref="G35"/>
      <selection pane="bottomLeft" activeCell="G35" sqref="G35"/>
      <selection pane="bottomRight" activeCell="H47" sqref="H47"/>
    </sheetView>
  </sheetViews>
  <sheetFormatPr defaultColWidth="9.109375" defaultRowHeight="18" customHeight="1"/>
  <cols>
    <col min="1" max="1" width="12.109375" style="468" customWidth="1"/>
    <col min="2" max="2" width="50.88671875" style="468" bestFit="1" customWidth="1"/>
    <col min="3" max="3" width="18.109375" style="469" bestFit="1" customWidth="1"/>
    <col min="4" max="4" width="20" style="469" customWidth="1"/>
    <col min="5" max="5" width="18.5546875" style="469" customWidth="1"/>
    <col min="6" max="6" width="19.88671875" style="470" bestFit="1" customWidth="1"/>
    <col min="7" max="8" width="16.109375" style="470" customWidth="1"/>
    <col min="9" max="9" width="18.109375" style="469" bestFit="1" customWidth="1"/>
    <col min="10" max="10" width="18.6640625" style="469" bestFit="1" customWidth="1"/>
    <col min="11" max="11" width="18.109375" style="469" bestFit="1" customWidth="1"/>
    <col min="12" max="12" width="23.44140625" style="469" customWidth="1"/>
    <col min="13" max="13" width="18.33203125" style="66" bestFit="1" customWidth="1"/>
    <col min="14" max="14" width="14.5546875" style="468" customWidth="1"/>
    <col min="15" max="15" width="17.88671875" style="468" bestFit="1" customWidth="1"/>
    <col min="16" max="16" width="15.5546875" style="468" bestFit="1" customWidth="1"/>
    <col min="17" max="17" width="11.6640625" style="468" bestFit="1" customWidth="1"/>
    <col min="18" max="16384" width="9.109375" style="468"/>
  </cols>
  <sheetData>
    <row r="1" spans="1:16" s="440" customFormat="1" ht="18" customHeight="1">
      <c r="A1" s="645" t="s">
        <v>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115"/>
    </row>
    <row r="2" spans="1:16" s="441" customFormat="1" ht="18" customHeight="1">
      <c r="A2" s="646" t="s">
        <v>548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116"/>
    </row>
    <row r="3" spans="1:16" s="441" customFormat="1" ht="18" customHeight="1">
      <c r="A3" s="647" t="str">
        <f>'Schedule 1'!A3:L3</f>
        <v>Data Through August 31, 2019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116"/>
    </row>
    <row r="4" spans="1:16" s="446" customFormat="1" ht="31.2">
      <c r="A4" s="442"/>
      <c r="B4" s="443"/>
      <c r="C4" s="444" t="s">
        <v>197</v>
      </c>
      <c r="D4" s="444" t="s">
        <v>154</v>
      </c>
      <c r="E4" s="444" t="s">
        <v>216</v>
      </c>
      <c r="F4" s="444" t="s">
        <v>202</v>
      </c>
      <c r="G4" s="444" t="s">
        <v>153</v>
      </c>
      <c r="H4" s="444" t="s">
        <v>31</v>
      </c>
      <c r="I4" s="444" t="s">
        <v>46</v>
      </c>
      <c r="J4" s="444" t="s">
        <v>47</v>
      </c>
      <c r="K4" s="445" t="s">
        <v>32</v>
      </c>
      <c r="L4" s="445" t="s">
        <v>33</v>
      </c>
      <c r="M4" s="116"/>
    </row>
    <row r="5" spans="1:16" s="447" customFormat="1" ht="18" customHeight="1">
      <c r="A5" s="121" t="s">
        <v>22</v>
      </c>
      <c r="B5" s="122" t="s">
        <v>7</v>
      </c>
      <c r="C5" s="123">
        <v>22549826</v>
      </c>
      <c r="D5" s="123">
        <f>E5+G5</f>
        <v>-124061</v>
      </c>
      <c r="E5" s="123">
        <v>-124061</v>
      </c>
      <c r="F5" s="332" t="s">
        <v>363</v>
      </c>
      <c r="G5" s="123">
        <v>0</v>
      </c>
      <c r="H5" s="125"/>
      <c r="I5" s="123">
        <v>22425765</v>
      </c>
      <c r="J5" s="123">
        <v>21669747.960000053</v>
      </c>
      <c r="K5" s="123">
        <v>21510733</v>
      </c>
      <c r="L5" s="123">
        <f>I5-K5</f>
        <v>915032</v>
      </c>
      <c r="M5" s="126">
        <f>I5-C5-D5</f>
        <v>0</v>
      </c>
      <c r="O5" s="448"/>
    </row>
    <row r="6" spans="1:16" s="449" customFormat="1" ht="7.5" customHeight="1">
      <c r="A6" s="121"/>
      <c r="B6" s="122"/>
      <c r="C6" s="123"/>
      <c r="D6" s="123"/>
      <c r="E6" s="123"/>
      <c r="F6" s="332"/>
      <c r="G6" s="125"/>
      <c r="H6" s="125"/>
      <c r="I6" s="123"/>
      <c r="J6" s="123"/>
      <c r="K6" s="123"/>
      <c r="L6" s="123"/>
      <c r="M6" s="126">
        <f t="shared" ref="M6:M52" si="0">I6-C6-D6</f>
        <v>0</v>
      </c>
    </row>
    <row r="7" spans="1:16" s="450" customFormat="1" ht="18" customHeight="1">
      <c r="A7" s="127" t="s">
        <v>239</v>
      </c>
      <c r="B7" s="128"/>
      <c r="C7" s="129">
        <f>C5</f>
        <v>22549826</v>
      </c>
      <c r="D7" s="129">
        <f>D5</f>
        <v>-124061</v>
      </c>
      <c r="E7" s="129">
        <v>-124061</v>
      </c>
      <c r="F7" s="129"/>
      <c r="G7" s="129">
        <f t="shared" ref="G7:L7" si="1">G5</f>
        <v>0</v>
      </c>
      <c r="H7" s="129"/>
      <c r="I7" s="129">
        <f t="shared" si="1"/>
        <v>22425765</v>
      </c>
      <c r="J7" s="129">
        <f t="shared" si="1"/>
        <v>21669747.960000053</v>
      </c>
      <c r="K7" s="129">
        <f t="shared" si="1"/>
        <v>21510733</v>
      </c>
      <c r="L7" s="129">
        <f t="shared" si="1"/>
        <v>915032</v>
      </c>
      <c r="M7" s="126">
        <f t="shared" si="0"/>
        <v>0</v>
      </c>
      <c r="O7" s="448"/>
      <c r="P7" s="447"/>
    </row>
    <row r="8" spans="1:16" s="451" customFormat="1" ht="18" customHeight="1">
      <c r="A8" s="131" t="s">
        <v>23</v>
      </c>
      <c r="B8" s="122" t="s">
        <v>8</v>
      </c>
      <c r="C8" s="123">
        <v>750864695</v>
      </c>
      <c r="D8" s="123">
        <f>E8+G8</f>
        <v>-42497465</v>
      </c>
      <c r="E8" s="123">
        <v>-42497465</v>
      </c>
      <c r="F8" s="332" t="s">
        <v>582</v>
      </c>
      <c r="G8" s="123">
        <v>0</v>
      </c>
      <c r="H8" s="332"/>
      <c r="I8" s="123">
        <v>708367230</v>
      </c>
      <c r="J8" s="123">
        <v>701744891.3199904</v>
      </c>
      <c r="K8" s="123">
        <v>708367230</v>
      </c>
      <c r="L8" s="123">
        <f t="shared" ref="L8:L19" si="2">I8-K8</f>
        <v>0</v>
      </c>
      <c r="M8" s="126">
        <f>I8-C8-D8</f>
        <v>0</v>
      </c>
      <c r="N8" s="447"/>
      <c r="O8" s="123"/>
      <c r="P8" s="447"/>
    </row>
    <row r="9" spans="1:16" s="451" customFormat="1" ht="18" customHeight="1">
      <c r="A9" s="131" t="s">
        <v>24</v>
      </c>
      <c r="B9" s="122" t="s">
        <v>9</v>
      </c>
      <c r="C9" s="123">
        <v>48305766</v>
      </c>
      <c r="D9" s="123">
        <f>E9+G9</f>
        <v>-5551548</v>
      </c>
      <c r="E9" s="123">
        <v>-6103785</v>
      </c>
      <c r="F9" s="332" t="s">
        <v>584</v>
      </c>
      <c r="G9" s="123">
        <v>552237</v>
      </c>
      <c r="H9" s="332" t="s">
        <v>187</v>
      </c>
      <c r="I9" s="123">
        <v>42754218</v>
      </c>
      <c r="J9" s="123">
        <v>42121688.85000027</v>
      </c>
      <c r="K9" s="123">
        <v>42754218</v>
      </c>
      <c r="L9" s="123">
        <f>I9-K9</f>
        <v>0</v>
      </c>
      <c r="M9" s="126">
        <f>I9-C9-D9</f>
        <v>0</v>
      </c>
      <c r="N9" s="447"/>
      <c r="O9" s="123"/>
      <c r="P9" s="447"/>
    </row>
    <row r="10" spans="1:16" s="451" customFormat="1" ht="18" customHeight="1">
      <c r="A10" s="131" t="s">
        <v>25</v>
      </c>
      <c r="B10" s="122" t="s">
        <v>170</v>
      </c>
      <c r="C10" s="123">
        <v>70954128</v>
      </c>
      <c r="D10" s="123">
        <f t="shared" ref="D10:D19" si="3">E10+G10</f>
        <v>15700084</v>
      </c>
      <c r="E10" s="123">
        <v>15700084</v>
      </c>
      <c r="F10" s="332" t="s">
        <v>465</v>
      </c>
      <c r="G10" s="123">
        <v>0</v>
      </c>
      <c r="H10" s="332"/>
      <c r="I10" s="123">
        <v>86654212</v>
      </c>
      <c r="J10" s="123">
        <v>85861412.950000003</v>
      </c>
      <c r="K10" s="123">
        <v>86080426</v>
      </c>
      <c r="L10" s="123">
        <f t="shared" si="2"/>
        <v>573786</v>
      </c>
      <c r="M10" s="126">
        <f>I10-C10-D10</f>
        <v>0</v>
      </c>
      <c r="N10" s="447"/>
      <c r="O10" s="123"/>
      <c r="P10" s="447"/>
    </row>
    <row r="11" spans="1:16" s="451" customFormat="1" ht="18" customHeight="1">
      <c r="A11" s="131" t="s">
        <v>26</v>
      </c>
      <c r="B11" s="122" t="s">
        <v>171</v>
      </c>
      <c r="C11" s="123">
        <v>10065312</v>
      </c>
      <c r="D11" s="123">
        <f t="shared" si="3"/>
        <v>4625228</v>
      </c>
      <c r="E11" s="123">
        <v>4625228</v>
      </c>
      <c r="F11" s="332" t="s">
        <v>525</v>
      </c>
      <c r="G11" s="123">
        <v>0</v>
      </c>
      <c r="H11" s="124"/>
      <c r="I11" s="123">
        <v>14690540</v>
      </c>
      <c r="J11" s="123">
        <v>14096162.569999998</v>
      </c>
      <c r="K11" s="123">
        <v>14690540</v>
      </c>
      <c r="L11" s="123">
        <f t="shared" si="2"/>
        <v>0</v>
      </c>
      <c r="M11" s="126">
        <f t="shared" si="0"/>
        <v>0</v>
      </c>
      <c r="N11" s="447"/>
      <c r="O11" s="123"/>
      <c r="P11" s="447"/>
    </row>
    <row r="12" spans="1:16" s="451" customFormat="1" ht="18" customHeight="1">
      <c r="A12" s="131" t="s">
        <v>27</v>
      </c>
      <c r="B12" s="122" t="s">
        <v>172</v>
      </c>
      <c r="C12" s="123">
        <v>3488221</v>
      </c>
      <c r="D12" s="123">
        <f t="shared" si="3"/>
        <v>1455520</v>
      </c>
      <c r="E12" s="123">
        <v>1455520</v>
      </c>
      <c r="F12" s="332" t="s">
        <v>337</v>
      </c>
      <c r="G12" s="123">
        <v>0</v>
      </c>
      <c r="H12" s="124"/>
      <c r="I12" s="123">
        <v>4943741</v>
      </c>
      <c r="J12" s="123">
        <v>4144421.0099999993</v>
      </c>
      <c r="K12" s="123">
        <v>4278859</v>
      </c>
      <c r="L12" s="123">
        <f t="shared" si="2"/>
        <v>664882</v>
      </c>
      <c r="M12" s="126">
        <f t="shared" si="0"/>
        <v>0</v>
      </c>
      <c r="N12" s="447"/>
      <c r="O12" s="123"/>
      <c r="P12" s="447"/>
    </row>
    <row r="13" spans="1:16" s="451" customFormat="1" ht="18" customHeight="1">
      <c r="A13" s="131" t="s">
        <v>106</v>
      </c>
      <c r="B13" s="122" t="s">
        <v>11</v>
      </c>
      <c r="C13" s="123">
        <v>9789513</v>
      </c>
      <c r="D13" s="123">
        <f t="shared" si="3"/>
        <v>53865</v>
      </c>
      <c r="E13" s="123">
        <v>53865</v>
      </c>
      <c r="F13" s="124" t="s">
        <v>526</v>
      </c>
      <c r="G13" s="123">
        <v>0</v>
      </c>
      <c r="H13" s="124"/>
      <c r="I13" s="123">
        <v>9843378</v>
      </c>
      <c r="J13" s="123">
        <v>9447100.2099999916</v>
      </c>
      <c r="K13" s="123">
        <v>10544152</v>
      </c>
      <c r="L13" s="123">
        <f t="shared" si="2"/>
        <v>-700774</v>
      </c>
      <c r="M13" s="126">
        <f t="shared" si="0"/>
        <v>0</v>
      </c>
      <c r="N13" s="447"/>
      <c r="O13" s="123"/>
      <c r="P13" s="447"/>
    </row>
    <row r="14" spans="1:16" s="451" customFormat="1" ht="18" customHeight="1">
      <c r="A14" s="131" t="s">
        <v>107</v>
      </c>
      <c r="B14" s="122" t="s">
        <v>173</v>
      </c>
      <c r="C14" s="123">
        <v>8568414</v>
      </c>
      <c r="D14" s="123">
        <f t="shared" si="3"/>
        <v>10416401</v>
      </c>
      <c r="E14" s="123">
        <v>10416401</v>
      </c>
      <c r="F14" s="332" t="s">
        <v>525</v>
      </c>
      <c r="G14" s="123">
        <v>0</v>
      </c>
      <c r="H14" s="124"/>
      <c r="I14" s="123">
        <v>18984815</v>
      </c>
      <c r="J14" s="123">
        <v>18613549.849999983</v>
      </c>
      <c r="K14" s="123">
        <v>19998680</v>
      </c>
      <c r="L14" s="123">
        <f t="shared" si="2"/>
        <v>-1013865</v>
      </c>
      <c r="M14" s="126">
        <f t="shared" si="0"/>
        <v>0</v>
      </c>
      <c r="N14" s="447"/>
      <c r="O14" s="123"/>
      <c r="P14" s="447"/>
    </row>
    <row r="15" spans="1:16" s="451" customFormat="1" ht="18" customHeight="1">
      <c r="A15" s="131" t="s">
        <v>108</v>
      </c>
      <c r="B15" s="122" t="s">
        <v>174</v>
      </c>
      <c r="C15" s="123">
        <v>39152551</v>
      </c>
      <c r="D15" s="123">
        <f t="shared" si="3"/>
        <v>4674432</v>
      </c>
      <c r="E15" s="123">
        <v>4664432</v>
      </c>
      <c r="F15" s="332" t="s">
        <v>553</v>
      </c>
      <c r="G15" s="123">
        <v>10000</v>
      </c>
      <c r="H15" s="124" t="s">
        <v>208</v>
      </c>
      <c r="I15" s="123">
        <v>43826983</v>
      </c>
      <c r="J15" s="123">
        <v>43681444.50000003</v>
      </c>
      <c r="K15" s="123">
        <v>44128432</v>
      </c>
      <c r="L15" s="123">
        <f t="shared" si="2"/>
        <v>-301449</v>
      </c>
      <c r="M15" s="126">
        <f t="shared" si="0"/>
        <v>0</v>
      </c>
      <c r="N15" s="447"/>
      <c r="O15" s="123"/>
      <c r="P15" s="447"/>
    </row>
    <row r="16" spans="1:16" s="451" customFormat="1" ht="18" customHeight="1">
      <c r="A16" s="131" t="s">
        <v>109</v>
      </c>
      <c r="B16" s="122" t="s">
        <v>175</v>
      </c>
      <c r="C16" s="123">
        <v>468467954</v>
      </c>
      <c r="D16" s="123">
        <f t="shared" si="3"/>
        <v>48090112</v>
      </c>
      <c r="E16" s="123">
        <v>48090112</v>
      </c>
      <c r="F16" s="332" t="s">
        <v>473</v>
      </c>
      <c r="G16" s="123">
        <v>0</v>
      </c>
      <c r="H16" s="124"/>
      <c r="I16" s="123">
        <v>516558066</v>
      </c>
      <c r="J16" s="123">
        <v>513351037.69999993</v>
      </c>
      <c r="K16" s="123">
        <v>509228809</v>
      </c>
      <c r="L16" s="123">
        <f t="shared" si="2"/>
        <v>7329257</v>
      </c>
      <c r="M16" s="126">
        <f t="shared" si="0"/>
        <v>0</v>
      </c>
      <c r="N16" s="447"/>
      <c r="O16" s="123"/>
      <c r="P16" s="447"/>
    </row>
    <row r="17" spans="1:16" s="451" customFormat="1" ht="18" customHeight="1">
      <c r="A17" s="131" t="s">
        <v>110</v>
      </c>
      <c r="B17" s="122" t="s">
        <v>176</v>
      </c>
      <c r="C17" s="123">
        <v>278424342</v>
      </c>
      <c r="D17" s="123">
        <f t="shared" si="3"/>
        <v>-339682</v>
      </c>
      <c r="E17" s="123">
        <v>-339682</v>
      </c>
      <c r="F17" s="332" t="s">
        <v>210</v>
      </c>
      <c r="G17" s="123">
        <v>0</v>
      </c>
      <c r="H17" s="124"/>
      <c r="I17" s="123">
        <v>278084660</v>
      </c>
      <c r="J17" s="123">
        <v>277833852.43999994</v>
      </c>
      <c r="K17" s="123">
        <v>277641896</v>
      </c>
      <c r="L17" s="123">
        <f t="shared" si="2"/>
        <v>442764</v>
      </c>
      <c r="M17" s="126">
        <f t="shared" si="0"/>
        <v>0</v>
      </c>
      <c r="N17" s="447"/>
      <c r="O17" s="123"/>
      <c r="P17" s="447"/>
    </row>
    <row r="18" spans="1:16" s="451" customFormat="1" ht="18" customHeight="1">
      <c r="A18" s="131" t="s">
        <v>111</v>
      </c>
      <c r="B18" s="122" t="s">
        <v>177</v>
      </c>
      <c r="C18" s="123">
        <v>37654403</v>
      </c>
      <c r="D18" s="123">
        <f t="shared" si="3"/>
        <v>-3100000</v>
      </c>
      <c r="E18" s="123">
        <v>-3100000</v>
      </c>
      <c r="F18" s="332" t="s">
        <v>469</v>
      </c>
      <c r="G18" s="123">
        <v>0</v>
      </c>
      <c r="H18" s="124"/>
      <c r="I18" s="123">
        <v>34554403</v>
      </c>
      <c r="J18" s="123">
        <v>34451584.070000008</v>
      </c>
      <c r="K18" s="123">
        <v>34312852</v>
      </c>
      <c r="L18" s="123">
        <f t="shared" si="2"/>
        <v>241551</v>
      </c>
      <c r="M18" s="126">
        <f t="shared" si="0"/>
        <v>0</v>
      </c>
      <c r="N18" s="447"/>
      <c r="O18" s="123"/>
      <c r="P18" s="447"/>
    </row>
    <row r="19" spans="1:16" s="451" customFormat="1" ht="18" customHeight="1">
      <c r="A19" s="131" t="s">
        <v>271</v>
      </c>
      <c r="B19" s="132" t="s">
        <v>335</v>
      </c>
      <c r="C19" s="123">
        <v>0</v>
      </c>
      <c r="D19" s="123">
        <f t="shared" si="3"/>
        <v>7011401</v>
      </c>
      <c r="E19" s="123">
        <v>7011401</v>
      </c>
      <c r="F19" s="332" t="s">
        <v>578</v>
      </c>
      <c r="G19" s="123">
        <v>0</v>
      </c>
      <c r="H19" s="124"/>
      <c r="I19" s="123">
        <v>7011401</v>
      </c>
      <c r="J19" s="123">
        <v>6802956.269999993</v>
      </c>
      <c r="K19" s="123">
        <v>6998454</v>
      </c>
      <c r="L19" s="123">
        <f t="shared" si="2"/>
        <v>12947</v>
      </c>
      <c r="M19" s="126">
        <f t="shared" si="0"/>
        <v>0</v>
      </c>
      <c r="N19" s="447"/>
      <c r="O19" s="123"/>
      <c r="P19" s="447"/>
    </row>
    <row r="20" spans="1:16" s="452" customFormat="1" ht="7.5" customHeight="1">
      <c r="A20" s="131"/>
      <c r="B20" s="132"/>
      <c r="C20" s="123"/>
      <c r="D20" s="123"/>
      <c r="E20" s="123"/>
      <c r="F20" s="332"/>
      <c r="G20" s="124"/>
      <c r="H20" s="124"/>
      <c r="I20" s="123"/>
      <c r="J20" s="123"/>
      <c r="K20" s="123"/>
      <c r="L20" s="123"/>
      <c r="M20" s="126">
        <f t="shared" si="0"/>
        <v>0</v>
      </c>
      <c r="O20" s="123"/>
      <c r="P20" s="449"/>
    </row>
    <row r="21" spans="1:16" s="450" customFormat="1" ht="18" customHeight="1">
      <c r="A21" s="127" t="s">
        <v>240</v>
      </c>
      <c r="B21" s="128"/>
      <c r="C21" s="129">
        <f>SUM(C8:C19)</f>
        <v>1725735299</v>
      </c>
      <c r="D21" s="129">
        <f>SUM(D8:D19)</f>
        <v>40538348</v>
      </c>
      <c r="E21" s="129">
        <v>39976111</v>
      </c>
      <c r="F21" s="129"/>
      <c r="G21" s="129">
        <f t="shared" ref="G21:L21" si="4">SUM(G8:G19)</f>
        <v>562237</v>
      </c>
      <c r="H21" s="129"/>
      <c r="I21" s="129">
        <f t="shared" si="4"/>
        <v>1766273647</v>
      </c>
      <c r="J21" s="129">
        <f t="shared" si="4"/>
        <v>1752150101.7399905</v>
      </c>
      <c r="K21" s="129">
        <f t="shared" si="4"/>
        <v>1759024548</v>
      </c>
      <c r="L21" s="129">
        <f t="shared" si="4"/>
        <v>7249099</v>
      </c>
      <c r="M21" s="126">
        <f t="shared" si="0"/>
        <v>0</v>
      </c>
      <c r="N21" s="447"/>
      <c r="O21" s="123"/>
      <c r="P21" s="447"/>
    </row>
    <row r="22" spans="1:16" s="451" customFormat="1" ht="18" customHeight="1">
      <c r="A22" s="131" t="s">
        <v>28</v>
      </c>
      <c r="B22" s="122" t="s">
        <v>14</v>
      </c>
      <c r="C22" s="123">
        <v>24312362</v>
      </c>
      <c r="D22" s="123">
        <f t="shared" ref="D22:D27" si="5">E22+G22</f>
        <v>-740000</v>
      </c>
      <c r="E22" s="123">
        <v>-740000</v>
      </c>
      <c r="F22" s="332" t="s">
        <v>208</v>
      </c>
      <c r="G22" s="123">
        <v>0</v>
      </c>
      <c r="H22" s="124"/>
      <c r="I22" s="123">
        <v>23572362</v>
      </c>
      <c r="J22" s="123">
        <v>23325733.429999985</v>
      </c>
      <c r="K22" s="123">
        <v>23572362</v>
      </c>
      <c r="L22" s="123">
        <f t="shared" ref="L22:L27" si="6">I22-K22</f>
        <v>0</v>
      </c>
      <c r="M22" s="126">
        <f t="shared" si="0"/>
        <v>0</v>
      </c>
      <c r="N22" s="449"/>
      <c r="O22" s="123"/>
      <c r="P22" s="447"/>
    </row>
    <row r="23" spans="1:16" s="451" customFormat="1" ht="18" customHeight="1">
      <c r="A23" s="131" t="s">
        <v>112</v>
      </c>
      <c r="B23" s="122" t="s">
        <v>15</v>
      </c>
      <c r="C23" s="123">
        <v>8422559</v>
      </c>
      <c r="D23" s="123">
        <f t="shared" si="5"/>
        <v>-400000</v>
      </c>
      <c r="E23" s="123">
        <v>-400000</v>
      </c>
      <c r="F23" s="332"/>
      <c r="G23" s="123">
        <v>0</v>
      </c>
      <c r="H23" s="124"/>
      <c r="I23" s="123">
        <v>8022559</v>
      </c>
      <c r="J23" s="123">
        <v>7987891.129999999</v>
      </c>
      <c r="K23" s="123">
        <v>8022559</v>
      </c>
      <c r="L23" s="123">
        <f t="shared" si="6"/>
        <v>0</v>
      </c>
      <c r="M23" s="126">
        <f t="shared" si="0"/>
        <v>0</v>
      </c>
      <c r="N23" s="450"/>
      <c r="O23" s="123"/>
      <c r="P23" s="447"/>
    </row>
    <row r="24" spans="1:16" s="451" customFormat="1" ht="18" customHeight="1">
      <c r="A24" s="131" t="s">
        <v>113</v>
      </c>
      <c r="B24" s="122" t="s">
        <v>16</v>
      </c>
      <c r="C24" s="123">
        <v>3607158</v>
      </c>
      <c r="D24" s="123">
        <f t="shared" si="5"/>
        <v>-134272</v>
      </c>
      <c r="E24" s="123">
        <v>-134272</v>
      </c>
      <c r="F24" s="332" t="s">
        <v>187</v>
      </c>
      <c r="G24" s="123">
        <v>0</v>
      </c>
      <c r="H24" s="124"/>
      <c r="I24" s="123">
        <v>3472886</v>
      </c>
      <c r="J24" s="123">
        <v>3197318.389999995</v>
      </c>
      <c r="K24" s="123">
        <v>3472886</v>
      </c>
      <c r="L24" s="123">
        <f t="shared" si="6"/>
        <v>0</v>
      </c>
      <c r="M24" s="126">
        <f t="shared" si="0"/>
        <v>0</v>
      </c>
      <c r="N24" s="447"/>
      <c r="O24" s="123"/>
      <c r="P24" s="447"/>
    </row>
    <row r="25" spans="1:16" s="451" customFormat="1" ht="18" customHeight="1">
      <c r="A25" s="131" t="s">
        <v>99</v>
      </c>
      <c r="B25" s="122" t="s">
        <v>143</v>
      </c>
      <c r="C25" s="123">
        <v>29589697</v>
      </c>
      <c r="D25" s="123">
        <f t="shared" si="5"/>
        <v>-3460000</v>
      </c>
      <c r="E25" s="123">
        <v>-3460000</v>
      </c>
      <c r="F25" s="332" t="s">
        <v>208</v>
      </c>
      <c r="G25" s="123">
        <v>0</v>
      </c>
      <c r="H25" s="124"/>
      <c r="I25" s="123">
        <v>26129697</v>
      </c>
      <c r="J25" s="123">
        <v>26433098.410000004</v>
      </c>
      <c r="K25" s="123">
        <v>26129697</v>
      </c>
      <c r="L25" s="123">
        <f t="shared" si="6"/>
        <v>0</v>
      </c>
      <c r="M25" s="126">
        <f t="shared" si="0"/>
        <v>0</v>
      </c>
      <c r="N25" s="447"/>
      <c r="O25" s="123"/>
      <c r="P25" s="447"/>
    </row>
    <row r="26" spans="1:16" s="451" customFormat="1" ht="18" customHeight="1">
      <c r="A26" s="131" t="s">
        <v>100</v>
      </c>
      <c r="B26" s="122" t="s">
        <v>315</v>
      </c>
      <c r="C26" s="123">
        <v>31490335</v>
      </c>
      <c r="D26" s="123">
        <f t="shared" si="5"/>
        <v>-2399782</v>
      </c>
      <c r="E26" s="123">
        <v>-2434747</v>
      </c>
      <c r="F26" s="332" t="s">
        <v>439</v>
      </c>
      <c r="G26" s="123">
        <v>34965</v>
      </c>
      <c r="H26" s="124" t="s">
        <v>187</v>
      </c>
      <c r="I26" s="123">
        <v>29090553</v>
      </c>
      <c r="J26" s="123">
        <v>29758475.359999977</v>
      </c>
      <c r="K26" s="123">
        <v>29090553</v>
      </c>
      <c r="L26" s="123">
        <f t="shared" si="6"/>
        <v>0</v>
      </c>
      <c r="M26" s="126">
        <f>I26-C26-D26</f>
        <v>0</v>
      </c>
      <c r="N26" s="447"/>
      <c r="O26" s="123"/>
      <c r="P26" s="447"/>
    </row>
    <row r="27" spans="1:16" s="451" customFormat="1" ht="18" customHeight="1">
      <c r="A27" s="131" t="s">
        <v>114</v>
      </c>
      <c r="B27" s="122" t="s">
        <v>144</v>
      </c>
      <c r="C27" s="123">
        <v>7560572</v>
      </c>
      <c r="D27" s="123">
        <f t="shared" si="5"/>
        <v>-1424722</v>
      </c>
      <c r="E27" s="123">
        <v>-1392619</v>
      </c>
      <c r="F27" s="332" t="s">
        <v>419</v>
      </c>
      <c r="G27" s="123">
        <v>-32103</v>
      </c>
      <c r="H27" s="332" t="s">
        <v>187</v>
      </c>
      <c r="I27" s="123">
        <v>6135850</v>
      </c>
      <c r="J27" s="123">
        <v>6412807.149999992</v>
      </c>
      <c r="K27" s="123">
        <v>6135850</v>
      </c>
      <c r="L27" s="123">
        <f t="shared" si="6"/>
        <v>0</v>
      </c>
      <c r="M27" s="126">
        <f>I27-C27-D27</f>
        <v>0</v>
      </c>
      <c r="N27" s="447"/>
      <c r="O27" s="123"/>
      <c r="P27" s="447"/>
    </row>
    <row r="28" spans="1:16" s="452" customFormat="1" ht="7.5" customHeight="1">
      <c r="A28" s="131"/>
      <c r="B28" s="122"/>
      <c r="C28" s="123"/>
      <c r="D28" s="123"/>
      <c r="E28" s="123"/>
      <c r="F28" s="332"/>
      <c r="G28" s="124"/>
      <c r="H28" s="124"/>
      <c r="I28" s="123"/>
      <c r="J28" s="123"/>
      <c r="K28" s="123"/>
      <c r="L28" s="123"/>
      <c r="M28" s="126">
        <f t="shared" si="0"/>
        <v>0</v>
      </c>
      <c r="O28" s="123"/>
      <c r="P28" s="449"/>
    </row>
    <row r="29" spans="1:16" s="450" customFormat="1" ht="18" customHeight="1">
      <c r="A29" s="127" t="s">
        <v>241</v>
      </c>
      <c r="B29" s="128"/>
      <c r="C29" s="129">
        <f>SUM(C22:C27)</f>
        <v>104982683</v>
      </c>
      <c r="D29" s="129">
        <f>SUM(D22:D27)</f>
        <v>-8558776</v>
      </c>
      <c r="E29" s="129">
        <v>-8561638</v>
      </c>
      <c r="F29" s="129"/>
      <c r="G29" s="129">
        <f>SUM(G22:G27)</f>
        <v>2862</v>
      </c>
      <c r="H29" s="129"/>
      <c r="I29" s="129">
        <f>SUM(I22:I27)</f>
        <v>96423907</v>
      </c>
      <c r="J29" s="129">
        <f>SUM(J22:J27)</f>
        <v>97115323.86999996</v>
      </c>
      <c r="K29" s="129">
        <f>SUM(K22:K27)</f>
        <v>96423907</v>
      </c>
      <c r="L29" s="129">
        <f>SUM(L22:L27)</f>
        <v>0</v>
      </c>
      <c r="M29" s="126">
        <f t="shared" si="0"/>
        <v>0</v>
      </c>
      <c r="N29" s="447"/>
      <c r="O29" s="123"/>
      <c r="P29" s="447"/>
    </row>
    <row r="30" spans="1:16" s="451" customFormat="1" ht="18" customHeight="1">
      <c r="A30" s="131" t="s">
        <v>101</v>
      </c>
      <c r="B30" s="122" t="s">
        <v>178</v>
      </c>
      <c r="C30" s="123">
        <v>47708847</v>
      </c>
      <c r="D30" s="123">
        <f>E30+G30</f>
        <v>-4393509</v>
      </c>
      <c r="E30" s="123">
        <v>-4393509</v>
      </c>
      <c r="F30" s="124" t="s">
        <v>583</v>
      </c>
      <c r="G30" s="123">
        <v>0</v>
      </c>
      <c r="H30" s="124"/>
      <c r="I30" s="123">
        <v>43315338</v>
      </c>
      <c r="J30" s="123">
        <v>42928525.82000012</v>
      </c>
      <c r="K30" s="123">
        <v>43315338</v>
      </c>
      <c r="L30" s="123">
        <f>I30-K30</f>
        <v>0</v>
      </c>
      <c r="M30" s="126">
        <f t="shared" si="0"/>
        <v>0</v>
      </c>
      <c r="N30" s="447"/>
      <c r="O30" s="123"/>
      <c r="P30" s="447"/>
    </row>
    <row r="31" spans="1:16" s="451" customFormat="1" ht="18" customHeight="1">
      <c r="A31" s="131" t="s">
        <v>102</v>
      </c>
      <c r="B31" s="122" t="s">
        <v>115</v>
      </c>
      <c r="C31" s="123">
        <v>5083092</v>
      </c>
      <c r="D31" s="123">
        <f>E31+G31</f>
        <v>-623566</v>
      </c>
      <c r="E31" s="123">
        <v>-623566</v>
      </c>
      <c r="F31" s="124" t="s">
        <v>482</v>
      </c>
      <c r="G31" s="123">
        <v>0</v>
      </c>
      <c r="H31" s="124"/>
      <c r="I31" s="123">
        <v>4459526</v>
      </c>
      <c r="J31" s="123">
        <v>3492834.0699999691</v>
      </c>
      <c r="K31" s="123">
        <v>3607620</v>
      </c>
      <c r="L31" s="123">
        <f>I31-K31</f>
        <v>851906</v>
      </c>
      <c r="M31" s="126">
        <f t="shared" si="0"/>
        <v>0</v>
      </c>
      <c r="N31" s="449"/>
      <c r="O31" s="123"/>
      <c r="P31" s="447"/>
    </row>
    <row r="32" spans="1:16" s="451" customFormat="1" ht="18" customHeight="1">
      <c r="A32" s="131" t="s">
        <v>103</v>
      </c>
      <c r="B32" s="122" t="s">
        <v>179</v>
      </c>
      <c r="C32" s="123">
        <v>9399819</v>
      </c>
      <c r="D32" s="123">
        <f>E32+G32</f>
        <v>0</v>
      </c>
      <c r="E32" s="123">
        <v>0</v>
      </c>
      <c r="F32" s="332"/>
      <c r="G32" s="123">
        <v>0</v>
      </c>
      <c r="H32" s="124"/>
      <c r="I32" s="123">
        <v>9399819</v>
      </c>
      <c r="J32" s="123">
        <v>8660223.8099999912</v>
      </c>
      <c r="K32" s="123">
        <v>8949819</v>
      </c>
      <c r="L32" s="123">
        <f>I32-K32</f>
        <v>450000</v>
      </c>
      <c r="M32" s="126">
        <f t="shared" si="0"/>
        <v>0</v>
      </c>
      <c r="N32" s="450"/>
      <c r="O32" s="123"/>
      <c r="P32" s="447"/>
    </row>
    <row r="33" spans="1:17" s="452" customFormat="1" ht="7.5" customHeight="1">
      <c r="A33" s="131"/>
      <c r="B33" s="122"/>
      <c r="C33" s="123"/>
      <c r="D33" s="123"/>
      <c r="E33" s="123"/>
      <c r="F33" s="332"/>
      <c r="G33" s="124"/>
      <c r="H33" s="124"/>
      <c r="I33" s="123"/>
      <c r="J33" s="123"/>
      <c r="K33" s="123"/>
      <c r="L33" s="123"/>
      <c r="M33" s="126">
        <f t="shared" si="0"/>
        <v>0</v>
      </c>
      <c r="O33" s="123"/>
      <c r="P33" s="449"/>
    </row>
    <row r="34" spans="1:17" s="451" customFormat="1" ht="18" customHeight="1">
      <c r="A34" s="133" t="s">
        <v>242</v>
      </c>
      <c r="B34" s="128"/>
      <c r="C34" s="129">
        <f>SUM(C30:C32)</f>
        <v>62191758</v>
      </c>
      <c r="D34" s="129">
        <f>SUM(D30:D32)</f>
        <v>-5017075</v>
      </c>
      <c r="E34" s="129">
        <v>-5017075</v>
      </c>
      <c r="F34" s="333"/>
      <c r="G34" s="130">
        <f>SUM(G30:G32)</f>
        <v>0</v>
      </c>
      <c r="H34" s="129"/>
      <c r="I34" s="129">
        <f>SUM(I30:I32)</f>
        <v>57174683</v>
      </c>
      <c r="J34" s="129">
        <f>SUM(J30:J32)</f>
        <v>55081583.700000077</v>
      </c>
      <c r="K34" s="129">
        <f>SUM(K30:K32)</f>
        <v>55872777</v>
      </c>
      <c r="L34" s="129">
        <f>SUM(L30:L32)</f>
        <v>1301906</v>
      </c>
      <c r="M34" s="126">
        <f t="shared" si="0"/>
        <v>0</v>
      </c>
      <c r="N34" s="447"/>
      <c r="O34" s="123"/>
      <c r="P34" s="447"/>
    </row>
    <row r="35" spans="1:17" s="451" customFormat="1" ht="18" customHeight="1">
      <c r="A35" s="131" t="s">
        <v>104</v>
      </c>
      <c r="B35" s="134" t="s">
        <v>18</v>
      </c>
      <c r="C35" s="123">
        <v>22796766</v>
      </c>
      <c r="D35" s="123">
        <f>E35+G35</f>
        <v>2640589</v>
      </c>
      <c r="E35" s="123">
        <v>2640589</v>
      </c>
      <c r="F35" s="332" t="s">
        <v>519</v>
      </c>
      <c r="G35" s="123">
        <v>0</v>
      </c>
      <c r="H35" s="124"/>
      <c r="I35" s="123">
        <v>25437355</v>
      </c>
      <c r="J35" s="123">
        <v>23210881.390000276</v>
      </c>
      <c r="K35" s="123">
        <v>24886119</v>
      </c>
      <c r="L35" s="123">
        <f>I35-K35</f>
        <v>551236</v>
      </c>
      <c r="M35" s="126">
        <f t="shared" si="0"/>
        <v>0</v>
      </c>
      <c r="N35" s="447"/>
      <c r="O35" s="123"/>
      <c r="P35" s="447"/>
    </row>
    <row r="36" spans="1:17" s="451" customFormat="1" ht="18" customHeight="1">
      <c r="A36" s="131" t="s">
        <v>272</v>
      </c>
      <c r="B36" s="134" t="s">
        <v>19</v>
      </c>
      <c r="C36" s="123">
        <v>11558163</v>
      </c>
      <c r="D36" s="123">
        <f>E36+G36</f>
        <v>2397664</v>
      </c>
      <c r="E36" s="123">
        <v>2397664</v>
      </c>
      <c r="F36" s="124" t="s">
        <v>519</v>
      </c>
      <c r="G36" s="123">
        <v>0</v>
      </c>
      <c r="H36" s="124"/>
      <c r="I36" s="123">
        <v>13955827</v>
      </c>
      <c r="J36" s="123">
        <v>12471532.489999952</v>
      </c>
      <c r="K36" s="123">
        <v>12014826</v>
      </c>
      <c r="L36" s="123">
        <f>I36-K36</f>
        <v>1941001</v>
      </c>
      <c r="M36" s="126">
        <f t="shared" si="0"/>
        <v>0</v>
      </c>
      <c r="N36" s="447"/>
      <c r="O36" s="123"/>
      <c r="P36" s="447"/>
    </row>
    <row r="37" spans="1:17" s="451" customFormat="1" ht="18" customHeight="1">
      <c r="A37" s="131" t="s">
        <v>273</v>
      </c>
      <c r="B37" s="134" t="s">
        <v>20</v>
      </c>
      <c r="C37" s="123">
        <v>1224392</v>
      </c>
      <c r="D37" s="123">
        <f>E37+G37</f>
        <v>-237811</v>
      </c>
      <c r="E37" s="123">
        <v>-237811</v>
      </c>
      <c r="F37" s="124" t="s">
        <v>520</v>
      </c>
      <c r="G37" s="123">
        <v>0</v>
      </c>
      <c r="H37" s="124"/>
      <c r="I37" s="123">
        <v>986581</v>
      </c>
      <c r="J37" s="123">
        <v>975758.60000000347</v>
      </c>
      <c r="K37" s="123">
        <v>971501</v>
      </c>
      <c r="L37" s="123">
        <f>I37-K37</f>
        <v>15080</v>
      </c>
      <c r="M37" s="126">
        <f t="shared" si="0"/>
        <v>0</v>
      </c>
      <c r="N37" s="449"/>
      <c r="O37" s="123"/>
      <c r="P37" s="447"/>
    </row>
    <row r="38" spans="1:17" s="451" customFormat="1" ht="18" customHeight="1">
      <c r="A38" s="131" t="s">
        <v>274</v>
      </c>
      <c r="B38" s="134" t="s">
        <v>21</v>
      </c>
      <c r="C38" s="123">
        <v>43053145</v>
      </c>
      <c r="D38" s="123">
        <f>E38+G38</f>
        <v>-12278581</v>
      </c>
      <c r="E38" s="123">
        <v>-12268581</v>
      </c>
      <c r="F38" s="124" t="s">
        <v>585</v>
      </c>
      <c r="G38" s="123">
        <v>-10000</v>
      </c>
      <c r="H38" s="124" t="s">
        <v>208</v>
      </c>
      <c r="I38" s="123">
        <v>30774564</v>
      </c>
      <c r="J38" s="123">
        <v>29588000.110000078</v>
      </c>
      <c r="K38" s="123">
        <v>30774564</v>
      </c>
      <c r="L38" s="123">
        <f>I38-K38</f>
        <v>0</v>
      </c>
      <c r="M38" s="126">
        <f t="shared" si="0"/>
        <v>0</v>
      </c>
      <c r="O38" s="123"/>
      <c r="P38" s="447"/>
    </row>
    <row r="39" spans="1:17" s="452" customFormat="1" ht="7.5" customHeight="1">
      <c r="A39" s="131"/>
      <c r="B39" s="134"/>
      <c r="C39" s="123"/>
      <c r="D39" s="123"/>
      <c r="E39" s="123"/>
      <c r="F39" s="332"/>
      <c r="G39" s="124"/>
      <c r="H39" s="124"/>
      <c r="I39" s="123"/>
      <c r="J39" s="123"/>
      <c r="K39" s="123"/>
      <c r="L39" s="123"/>
      <c r="M39" s="126">
        <f t="shared" si="0"/>
        <v>0</v>
      </c>
      <c r="O39" s="123"/>
      <c r="P39" s="449"/>
    </row>
    <row r="40" spans="1:17" s="450" customFormat="1" ht="18" customHeight="1">
      <c r="A40" s="127" t="s">
        <v>427</v>
      </c>
      <c r="B40" s="128"/>
      <c r="C40" s="129">
        <f>SUM(C35:C38)</f>
        <v>78632466</v>
      </c>
      <c r="D40" s="129">
        <f>SUM(D35:D39)</f>
        <v>-7478139</v>
      </c>
      <c r="E40" s="129">
        <v>-7468139</v>
      </c>
      <c r="F40" s="333"/>
      <c r="G40" s="130">
        <f>SUM(G35:G39)</f>
        <v>-10000</v>
      </c>
      <c r="H40" s="129"/>
      <c r="I40" s="129">
        <f>SUM(I35:I39)</f>
        <v>71154327</v>
      </c>
      <c r="J40" s="129">
        <f>SUM(J35:J39)</f>
        <v>66246172.590000302</v>
      </c>
      <c r="K40" s="129">
        <f>SUM(K35:K39)</f>
        <v>68647010</v>
      </c>
      <c r="L40" s="129">
        <f>SUM(L35:L39)</f>
        <v>2507317</v>
      </c>
      <c r="M40" s="126">
        <f>I40-C40-D40</f>
        <v>0</v>
      </c>
      <c r="N40" s="447"/>
      <c r="O40" s="123"/>
      <c r="P40" s="447"/>
    </row>
    <row r="41" spans="1:17" s="451" customFormat="1" ht="18" customHeight="1">
      <c r="A41" s="131" t="s">
        <v>105</v>
      </c>
      <c r="B41" s="132" t="s">
        <v>116</v>
      </c>
      <c r="C41" s="123">
        <v>32384497</v>
      </c>
      <c r="D41" s="123">
        <f>E41+G41</f>
        <v>-5615034</v>
      </c>
      <c r="E41" s="123">
        <v>-5615034</v>
      </c>
      <c r="F41" s="332" t="s">
        <v>552</v>
      </c>
      <c r="G41" s="123">
        <v>0</v>
      </c>
      <c r="H41" s="124"/>
      <c r="I41" s="123">
        <v>26769463</v>
      </c>
      <c r="J41" s="123">
        <v>24052980.350000013</v>
      </c>
      <c r="K41" s="123">
        <v>24052985</v>
      </c>
      <c r="L41" s="123">
        <f>I41-K41</f>
        <v>2716478</v>
      </c>
      <c r="M41" s="126">
        <f t="shared" si="0"/>
        <v>0</v>
      </c>
      <c r="N41" s="447"/>
      <c r="O41" s="123"/>
      <c r="P41" s="447"/>
    </row>
    <row r="42" spans="1:17" s="452" customFormat="1" ht="7.5" customHeight="1">
      <c r="A42" s="131"/>
      <c r="B42" s="134"/>
      <c r="C42" s="123"/>
      <c r="D42" s="123"/>
      <c r="E42" s="123"/>
      <c r="F42" s="332"/>
      <c r="G42" s="124"/>
      <c r="H42" s="124"/>
      <c r="I42" s="123"/>
      <c r="J42" s="123"/>
      <c r="K42" s="123"/>
      <c r="L42" s="123"/>
      <c r="M42" s="126">
        <f t="shared" si="0"/>
        <v>0</v>
      </c>
      <c r="N42" s="447"/>
      <c r="O42" s="123"/>
      <c r="P42" s="449"/>
    </row>
    <row r="43" spans="1:17" s="450" customFormat="1" ht="18" customHeight="1">
      <c r="A43" s="127" t="s">
        <v>428</v>
      </c>
      <c r="B43" s="128"/>
      <c r="C43" s="129">
        <f>SUM(C41:C41)</f>
        <v>32384497</v>
      </c>
      <c r="D43" s="129">
        <f>SUM(D41:D41)</f>
        <v>-5615034</v>
      </c>
      <c r="E43" s="129">
        <v>-5615034</v>
      </c>
      <c r="F43" s="333"/>
      <c r="G43" s="129">
        <f>SUM(G41:G41)</f>
        <v>0</v>
      </c>
      <c r="H43" s="129">
        <f t="shared" ref="H43" si="7">SUM(H30:H41)</f>
        <v>0</v>
      </c>
      <c r="I43" s="129">
        <f>SUM(I41:I41)</f>
        <v>26769463</v>
      </c>
      <c r="J43" s="129">
        <f>SUM(J41:J41)</f>
        <v>24052980.350000013</v>
      </c>
      <c r="K43" s="129">
        <f>SUM(K41:K41)</f>
        <v>24052985</v>
      </c>
      <c r="L43" s="129">
        <f>SUM(L41:L41)</f>
        <v>2716478</v>
      </c>
      <c r="M43" s="126">
        <f t="shared" si="0"/>
        <v>0</v>
      </c>
      <c r="N43" s="449"/>
      <c r="O43" s="123"/>
      <c r="P43" s="447"/>
    </row>
    <row r="44" spans="1:17" s="453" customFormat="1" ht="7.5" customHeight="1">
      <c r="A44" s="136"/>
      <c r="B44" s="137"/>
      <c r="C44" s="138"/>
      <c r="D44" s="138"/>
      <c r="E44" s="138"/>
      <c r="F44" s="334"/>
      <c r="G44" s="139"/>
      <c r="H44" s="139"/>
      <c r="I44" s="138"/>
      <c r="J44" s="138"/>
      <c r="K44" s="138"/>
      <c r="L44" s="138"/>
      <c r="M44" s="126">
        <f t="shared" si="0"/>
        <v>0</v>
      </c>
      <c r="N44" s="449"/>
      <c r="O44" s="123"/>
      <c r="P44" s="449"/>
    </row>
    <row r="45" spans="1:17" s="450" customFormat="1" ht="18" customHeight="1" thickBot="1">
      <c r="A45" s="140" t="s">
        <v>243</v>
      </c>
      <c r="B45" s="141"/>
      <c r="C45" s="142">
        <f>SUM(C43,C40,C34,C29,C21,C7,)</f>
        <v>2026476529</v>
      </c>
      <c r="D45" s="142">
        <f>SUM(D43,D40,D34,D29,D21,D7,)</f>
        <v>13745263</v>
      </c>
      <c r="E45" s="142">
        <v>13190164</v>
      </c>
      <c r="F45" s="142"/>
      <c r="G45" s="142">
        <f t="shared" ref="G45:L45" si="8">SUM(G43,G40,G34,G29,G21,G7,)</f>
        <v>555099</v>
      </c>
      <c r="H45" s="142"/>
      <c r="I45" s="142">
        <f t="shared" si="8"/>
        <v>2040221792</v>
      </c>
      <c r="J45" s="142">
        <f>SUM(J43,J40,J34,J29,J21,J7,)</f>
        <v>2016315910.209991</v>
      </c>
      <c r="K45" s="142">
        <f t="shared" si="8"/>
        <v>2025531960</v>
      </c>
      <c r="L45" s="142">
        <f t="shared" si="8"/>
        <v>14689832</v>
      </c>
      <c r="M45" s="126">
        <f>I45-C45-D45</f>
        <v>0</v>
      </c>
      <c r="N45" s="447"/>
      <c r="O45" s="447"/>
      <c r="P45" s="447"/>
    </row>
    <row r="46" spans="1:17" s="454" customFormat="1" ht="18" customHeight="1" thickTop="1">
      <c r="A46" s="143"/>
      <c r="B46" s="132"/>
      <c r="C46" s="123"/>
      <c r="D46" s="123"/>
      <c r="E46" s="123"/>
      <c r="F46" s="332"/>
      <c r="G46" s="123"/>
      <c r="H46" s="123"/>
      <c r="I46" s="123"/>
      <c r="J46" s="123"/>
      <c r="K46" s="123"/>
      <c r="L46" s="123"/>
      <c r="M46" s="126">
        <f t="shared" si="0"/>
        <v>0</v>
      </c>
      <c r="O46" s="455"/>
      <c r="P46" s="455"/>
      <c r="Q46" s="455"/>
    </row>
    <row r="47" spans="1:17" s="454" customFormat="1" ht="18" customHeight="1">
      <c r="A47" s="144" t="s">
        <v>48</v>
      </c>
      <c r="B47" s="132"/>
      <c r="C47" s="123"/>
      <c r="D47" s="123"/>
      <c r="E47" s="123"/>
      <c r="F47" s="332"/>
      <c r="G47" s="123"/>
      <c r="H47" s="123"/>
      <c r="I47" s="123"/>
      <c r="J47" s="123"/>
      <c r="K47" s="123"/>
      <c r="L47" s="123"/>
      <c r="M47" s="126">
        <f t="shared" si="0"/>
        <v>0</v>
      </c>
    </row>
    <row r="48" spans="1:17" s="454" customFormat="1" ht="18" customHeight="1">
      <c r="A48" s="135"/>
      <c r="B48" s="132" t="s">
        <v>4</v>
      </c>
      <c r="C48" s="123">
        <v>1143690346</v>
      </c>
      <c r="D48" s="123">
        <f t="shared" ref="D48:D52" si="9">E48+G48</f>
        <v>19484842</v>
      </c>
      <c r="E48" s="123">
        <v>19484842</v>
      </c>
      <c r="F48" s="124"/>
      <c r="G48" s="123">
        <v>0</v>
      </c>
      <c r="H48" s="124"/>
      <c r="I48" s="123">
        <v>1163175188</v>
      </c>
      <c r="J48" s="123">
        <v>1182706801.3199205</v>
      </c>
      <c r="K48" s="123">
        <v>1146565484</v>
      </c>
      <c r="L48" s="123">
        <f>I48-K48</f>
        <v>16609704</v>
      </c>
      <c r="M48" s="126">
        <f t="shared" si="0"/>
        <v>0</v>
      </c>
      <c r="N48" s="451"/>
      <c r="O48" s="448"/>
    </row>
    <row r="49" spans="1:15" s="454" customFormat="1" ht="18" customHeight="1">
      <c r="A49" s="135"/>
      <c r="B49" s="132" t="s">
        <v>5</v>
      </c>
      <c r="C49" s="123">
        <v>5685702</v>
      </c>
      <c r="D49" s="123">
        <f t="shared" si="9"/>
        <v>0</v>
      </c>
      <c r="E49" s="123">
        <v>0</v>
      </c>
      <c r="F49" s="332"/>
      <c r="G49" s="123">
        <v>0</v>
      </c>
      <c r="H49" s="124"/>
      <c r="I49" s="123">
        <v>5685702</v>
      </c>
      <c r="J49" s="123">
        <v>5685702</v>
      </c>
      <c r="K49" s="123">
        <v>5685702</v>
      </c>
      <c r="L49" s="123">
        <f>I49-K49</f>
        <v>0</v>
      </c>
      <c r="M49" s="126">
        <f t="shared" si="0"/>
        <v>0</v>
      </c>
      <c r="N49" s="451"/>
      <c r="O49" s="448"/>
    </row>
    <row r="50" spans="1:15" s="450" customFormat="1" ht="18" customHeight="1">
      <c r="A50" s="145"/>
      <c r="B50" s="146" t="s">
        <v>49</v>
      </c>
      <c r="C50" s="123">
        <f>SUM(C48:C49)</f>
        <v>1149376048</v>
      </c>
      <c r="D50" s="123">
        <f>SUM(D48:D49)</f>
        <v>19484842</v>
      </c>
      <c r="E50" s="123">
        <v>19484842</v>
      </c>
      <c r="F50" s="332"/>
      <c r="G50" s="123">
        <f>SUM(G48:G49)</f>
        <v>0</v>
      </c>
      <c r="H50" s="124"/>
      <c r="I50" s="123">
        <f>SUM(I48:I49)</f>
        <v>1168860890</v>
      </c>
      <c r="J50" s="123">
        <f>SUM(J48:J49)</f>
        <v>1188392503.3199205</v>
      </c>
      <c r="K50" s="123">
        <f>SUM(K48:K49)</f>
        <v>1152251186</v>
      </c>
      <c r="L50" s="123">
        <f>I50-K50</f>
        <v>16609704</v>
      </c>
      <c r="M50" s="126">
        <f t="shared" si="0"/>
        <v>0</v>
      </c>
      <c r="N50" s="451"/>
      <c r="O50" s="448"/>
    </row>
    <row r="51" spans="1:15" s="454" customFormat="1" ht="18" customHeight="1">
      <c r="A51" s="135"/>
      <c r="B51" s="132" t="s">
        <v>6</v>
      </c>
      <c r="C51" s="123">
        <v>869339893</v>
      </c>
      <c r="D51" s="123">
        <f t="shared" si="9"/>
        <v>-4233247</v>
      </c>
      <c r="E51" s="123">
        <v>-4788346</v>
      </c>
      <c r="F51" s="124"/>
      <c r="G51" s="123">
        <v>555099</v>
      </c>
      <c r="H51" s="124"/>
      <c r="I51" s="123">
        <v>865106646</v>
      </c>
      <c r="J51" s="123">
        <v>820417565.49997604</v>
      </c>
      <c r="K51" s="123">
        <v>867034518</v>
      </c>
      <c r="L51" s="123">
        <f>I51-K51</f>
        <v>-1927872</v>
      </c>
      <c r="M51" s="126">
        <f t="shared" si="0"/>
        <v>0</v>
      </c>
      <c r="N51" s="451"/>
      <c r="O51" s="448"/>
    </row>
    <row r="52" spans="1:15" s="454" customFormat="1" ht="18" customHeight="1">
      <c r="A52" s="135"/>
      <c r="B52" s="132" t="s">
        <v>34</v>
      </c>
      <c r="C52" s="123">
        <v>7760588</v>
      </c>
      <c r="D52" s="123">
        <f t="shared" si="9"/>
        <v>-1506332</v>
      </c>
      <c r="E52" s="123">
        <v>-1506332</v>
      </c>
      <c r="F52" s="124"/>
      <c r="G52" s="123">
        <v>0</v>
      </c>
      <c r="H52" s="124"/>
      <c r="I52" s="123">
        <v>6254256</v>
      </c>
      <c r="J52" s="123">
        <v>7505841.2200000249</v>
      </c>
      <c r="K52" s="123">
        <v>6246256</v>
      </c>
      <c r="L52" s="123">
        <f>I52-K52</f>
        <v>8000</v>
      </c>
      <c r="M52" s="126">
        <f t="shared" si="0"/>
        <v>0</v>
      </c>
      <c r="N52" s="451"/>
      <c r="O52" s="448"/>
    </row>
    <row r="53" spans="1:15" s="450" customFormat="1" ht="18" customHeight="1">
      <c r="A53" s="127" t="s">
        <v>35</v>
      </c>
      <c r="B53" s="147"/>
      <c r="C53" s="129">
        <f>SUM(C50:C52)</f>
        <v>2026476529</v>
      </c>
      <c r="D53" s="129">
        <f t="shared" ref="D53:L53" si="10">SUM(D50:D52)</f>
        <v>13745263</v>
      </c>
      <c r="E53" s="129">
        <v>13190164</v>
      </c>
      <c r="F53" s="333"/>
      <c r="G53" s="129">
        <f>SUM(G50:G52)</f>
        <v>555099</v>
      </c>
      <c r="H53" s="129"/>
      <c r="I53" s="129">
        <f t="shared" si="10"/>
        <v>2040221792</v>
      </c>
      <c r="J53" s="129">
        <f t="shared" si="10"/>
        <v>2016315910.0398967</v>
      </c>
      <c r="K53" s="129">
        <f t="shared" si="10"/>
        <v>2025531960</v>
      </c>
      <c r="L53" s="129">
        <f t="shared" si="10"/>
        <v>14689832</v>
      </c>
      <c r="M53" s="126">
        <f>I53-C53-D53</f>
        <v>0</v>
      </c>
      <c r="N53" s="451"/>
    </row>
    <row r="54" spans="1:15" s="454" customFormat="1" ht="18" customHeight="1">
      <c r="A54" s="456"/>
      <c r="B54" s="456"/>
      <c r="C54" s="457"/>
      <c r="D54" s="457"/>
      <c r="E54" s="457"/>
      <c r="F54" s="458"/>
      <c r="G54" s="458"/>
      <c r="H54" s="458"/>
      <c r="I54" s="457"/>
      <c r="J54" s="457"/>
      <c r="K54" s="457"/>
      <c r="L54" s="457"/>
      <c r="M54" s="151"/>
    </row>
    <row r="55" spans="1:15" s="446" customFormat="1" ht="18" customHeight="1">
      <c r="A55" s="459" t="s">
        <v>188</v>
      </c>
      <c r="B55" s="460" t="s">
        <v>332</v>
      </c>
      <c r="C55" s="461"/>
      <c r="D55" s="461"/>
      <c r="E55" s="461"/>
      <c r="F55" s="461"/>
      <c r="G55" s="462"/>
      <c r="H55" s="462"/>
      <c r="I55" s="463"/>
      <c r="J55" s="463"/>
      <c r="K55" s="463"/>
      <c r="L55" s="463"/>
      <c r="M55" s="64"/>
    </row>
    <row r="56" spans="1:15" s="446" customFormat="1" ht="18" customHeight="1">
      <c r="A56" s="459" t="s">
        <v>211</v>
      </c>
      <c r="B56" s="460" t="s">
        <v>331</v>
      </c>
      <c r="C56" s="461"/>
      <c r="D56" s="461"/>
      <c r="E56" s="461"/>
      <c r="F56" s="461"/>
      <c r="G56" s="462"/>
      <c r="H56" s="462"/>
      <c r="I56" s="463"/>
      <c r="J56" s="463"/>
      <c r="K56" s="463"/>
      <c r="L56" s="463"/>
      <c r="M56" s="64"/>
    </row>
    <row r="57" spans="1:15" s="446" customFormat="1" ht="18" customHeight="1">
      <c r="A57" s="459" t="s">
        <v>208</v>
      </c>
      <c r="B57" s="460" t="s">
        <v>311</v>
      </c>
      <c r="C57" s="461"/>
      <c r="D57" s="461"/>
      <c r="E57" s="461"/>
      <c r="F57" s="461"/>
      <c r="G57" s="462"/>
      <c r="H57" s="462"/>
      <c r="I57" s="463"/>
      <c r="J57" s="463"/>
      <c r="K57" s="463"/>
      <c r="L57" s="463"/>
      <c r="M57" s="64"/>
    </row>
    <row r="58" spans="1:15" s="446" customFormat="1" ht="18" customHeight="1">
      <c r="A58" s="459" t="s">
        <v>209</v>
      </c>
      <c r="B58" s="460" t="s">
        <v>320</v>
      </c>
      <c r="C58" s="464"/>
      <c r="D58" s="464"/>
      <c r="E58" s="464"/>
      <c r="F58" s="465"/>
      <c r="G58" s="462"/>
      <c r="H58" s="462"/>
      <c r="I58" s="463"/>
      <c r="J58" s="463"/>
      <c r="K58" s="463"/>
      <c r="L58" s="463"/>
      <c r="M58" s="64"/>
    </row>
    <row r="59" spans="1:15" s="446" customFormat="1" ht="18" customHeight="1">
      <c r="A59" s="459" t="s">
        <v>187</v>
      </c>
      <c r="B59" s="460" t="s">
        <v>310</v>
      </c>
      <c r="C59" s="464"/>
      <c r="D59" s="464"/>
      <c r="E59" s="464"/>
      <c r="F59" s="465"/>
      <c r="G59" s="462"/>
      <c r="H59" s="462"/>
      <c r="I59" s="463"/>
      <c r="J59" s="463"/>
      <c r="K59" s="463"/>
      <c r="L59" s="463"/>
      <c r="M59" s="64"/>
    </row>
    <row r="60" spans="1:15" s="446" customFormat="1" ht="18" customHeight="1">
      <c r="A60" s="459" t="s">
        <v>210</v>
      </c>
      <c r="B60" s="460" t="s">
        <v>329</v>
      </c>
      <c r="C60" s="461"/>
      <c r="D60" s="461"/>
      <c r="E60" s="461"/>
      <c r="F60" s="461"/>
      <c r="G60" s="462"/>
      <c r="H60" s="462"/>
      <c r="I60" s="463"/>
      <c r="J60" s="463"/>
      <c r="K60" s="463"/>
      <c r="L60" s="463"/>
      <c r="M60" s="64"/>
    </row>
    <row r="61" spans="1:15" s="446" customFormat="1" ht="18" customHeight="1">
      <c r="A61" s="459" t="s">
        <v>168</v>
      </c>
      <c r="B61" s="460" t="s">
        <v>333</v>
      </c>
      <c r="C61" s="461"/>
      <c r="D61" s="461"/>
      <c r="E61" s="461"/>
      <c r="F61" s="461"/>
      <c r="G61" s="462"/>
      <c r="H61" s="462"/>
      <c r="I61" s="463"/>
      <c r="J61" s="463"/>
      <c r="K61" s="463"/>
      <c r="L61" s="463"/>
      <c r="M61" s="64"/>
    </row>
    <row r="62" spans="1:15" s="446" customFormat="1" ht="18" customHeight="1">
      <c r="A62" s="459" t="s">
        <v>338</v>
      </c>
      <c r="B62" s="460" t="s">
        <v>339</v>
      </c>
      <c r="C62" s="461"/>
      <c r="D62" s="461"/>
      <c r="E62" s="461"/>
      <c r="F62" s="461"/>
      <c r="G62" s="462"/>
      <c r="H62" s="462"/>
      <c r="I62" s="463"/>
      <c r="J62" s="463"/>
      <c r="K62" s="463"/>
      <c r="L62" s="463"/>
      <c r="M62" s="64"/>
    </row>
    <row r="63" spans="1:15" s="446" customFormat="1" ht="18" customHeight="1">
      <c r="A63" s="459" t="s">
        <v>337</v>
      </c>
      <c r="B63" s="460" t="s">
        <v>340</v>
      </c>
      <c r="C63" s="461"/>
      <c r="D63" s="461"/>
      <c r="E63" s="461"/>
      <c r="F63" s="461"/>
      <c r="G63" s="462"/>
      <c r="H63" s="462"/>
      <c r="I63" s="463"/>
      <c r="J63" s="463"/>
      <c r="K63" s="463"/>
      <c r="L63" s="463"/>
      <c r="M63" s="64"/>
    </row>
    <row r="64" spans="1:15" s="446" customFormat="1" ht="18" customHeight="1">
      <c r="A64" s="459" t="s">
        <v>212</v>
      </c>
      <c r="B64" s="460" t="s">
        <v>362</v>
      </c>
      <c r="C64" s="464"/>
      <c r="D64" s="464"/>
      <c r="E64" s="464"/>
      <c r="F64" s="465"/>
      <c r="G64" s="462"/>
      <c r="H64" s="462"/>
      <c r="I64" s="463"/>
      <c r="J64" s="463"/>
      <c r="K64" s="463"/>
      <c r="L64" s="463"/>
      <c r="M64" s="64"/>
    </row>
    <row r="65" spans="1:13" s="446" customFormat="1" ht="18" customHeight="1">
      <c r="A65" s="459" t="s">
        <v>255</v>
      </c>
      <c r="B65" s="460" t="s">
        <v>431</v>
      </c>
      <c r="C65" s="464"/>
      <c r="D65" s="464"/>
      <c r="E65" s="464"/>
      <c r="F65" s="465"/>
      <c r="G65" s="462"/>
      <c r="H65" s="462"/>
      <c r="I65" s="463"/>
      <c r="J65" s="463"/>
      <c r="K65" s="463"/>
      <c r="L65" s="463"/>
      <c r="M65" s="64"/>
    </row>
    <row r="66" spans="1:13" s="446" customFormat="1" ht="18" customHeight="1">
      <c r="A66" s="459" t="s">
        <v>422</v>
      </c>
      <c r="B66" s="460" t="s">
        <v>464</v>
      </c>
      <c r="C66" s="464"/>
      <c r="D66" s="464"/>
      <c r="E66" s="464"/>
      <c r="F66" s="465"/>
      <c r="G66" s="462"/>
      <c r="H66" s="462"/>
      <c r="I66" s="463"/>
      <c r="J66" s="463"/>
      <c r="K66" s="463"/>
      <c r="L66" s="463"/>
      <c r="M66" s="64"/>
    </row>
    <row r="67" spans="1:13" s="446" customFormat="1" ht="18" customHeight="1">
      <c r="A67" s="459" t="s">
        <v>468</v>
      </c>
      <c r="B67" s="460" t="s">
        <v>471</v>
      </c>
      <c r="C67" s="464"/>
      <c r="D67" s="464"/>
      <c r="E67" s="464"/>
      <c r="F67" s="465"/>
      <c r="G67" s="462"/>
      <c r="H67" s="462"/>
      <c r="I67" s="463"/>
      <c r="J67" s="463"/>
      <c r="K67" s="463"/>
      <c r="L67" s="463"/>
      <c r="M67" s="64"/>
    </row>
    <row r="68" spans="1:13" s="446" customFormat="1" ht="18" customHeight="1">
      <c r="A68" s="459" t="s">
        <v>353</v>
      </c>
      <c r="B68" s="460" t="s">
        <v>470</v>
      </c>
      <c r="C68" s="464"/>
      <c r="D68" s="464"/>
      <c r="E68" s="464"/>
      <c r="F68" s="465"/>
      <c r="G68" s="462"/>
      <c r="H68" s="462"/>
      <c r="I68" s="463"/>
      <c r="J68" s="463"/>
      <c r="K68" s="463"/>
      <c r="L68" s="463"/>
      <c r="M68" s="64"/>
    </row>
    <row r="69" spans="1:13" s="446" customFormat="1" ht="18" customHeight="1">
      <c r="A69" s="459" t="s">
        <v>217</v>
      </c>
      <c r="B69" s="460" t="s">
        <v>472</v>
      </c>
      <c r="C69" s="464"/>
      <c r="D69" s="464"/>
      <c r="E69" s="464"/>
      <c r="F69" s="465"/>
      <c r="G69" s="462"/>
      <c r="H69" s="462"/>
      <c r="I69" s="463"/>
      <c r="J69" s="463"/>
      <c r="K69" s="463"/>
      <c r="L69" s="463"/>
      <c r="M69" s="64"/>
    </row>
    <row r="70" spans="1:13" s="446" customFormat="1" ht="18" customHeight="1">
      <c r="A70" s="459" t="s">
        <v>256</v>
      </c>
      <c r="B70" s="460" t="s">
        <v>483</v>
      </c>
      <c r="C70" s="464"/>
      <c r="D70" s="464"/>
      <c r="E70" s="464"/>
      <c r="F70" s="465"/>
      <c r="G70" s="462"/>
      <c r="H70" s="462"/>
      <c r="I70" s="463"/>
      <c r="J70" s="463"/>
      <c r="K70" s="463"/>
      <c r="L70" s="463"/>
      <c r="M70" s="64"/>
    </row>
    <row r="71" spans="1:13" s="446" customFormat="1" ht="18" customHeight="1">
      <c r="A71" s="459" t="s">
        <v>523</v>
      </c>
      <c r="B71" s="460" t="s">
        <v>524</v>
      </c>
      <c r="C71" s="464"/>
      <c r="D71" s="464"/>
      <c r="E71" s="464"/>
      <c r="F71" s="465"/>
      <c r="G71" s="462"/>
      <c r="H71" s="462"/>
      <c r="I71" s="463"/>
      <c r="J71" s="463"/>
      <c r="K71" s="463"/>
      <c r="L71" s="463"/>
      <c r="M71" s="64"/>
    </row>
    <row r="72" spans="1:13" s="446" customFormat="1" ht="18" customHeight="1">
      <c r="A72" s="459" t="s">
        <v>421</v>
      </c>
      <c r="B72" s="460" t="s">
        <v>460</v>
      </c>
      <c r="C72" s="463"/>
      <c r="D72" s="463"/>
      <c r="E72" s="463"/>
      <c r="F72" s="462"/>
      <c r="G72" s="462"/>
      <c r="H72" s="462"/>
      <c r="I72" s="463"/>
      <c r="J72" s="463"/>
      <c r="K72" s="463"/>
      <c r="L72" s="463"/>
      <c r="M72" s="64"/>
    </row>
    <row r="73" spans="1:13" s="446" customFormat="1" ht="18" customHeight="1">
      <c r="A73" s="459"/>
      <c r="B73" s="460"/>
      <c r="C73" s="466"/>
      <c r="D73" s="466"/>
      <c r="E73" s="466"/>
      <c r="F73" s="467"/>
      <c r="G73" s="467"/>
      <c r="H73" s="467"/>
      <c r="I73" s="466"/>
      <c r="J73" s="466"/>
      <c r="K73" s="466"/>
      <c r="L73" s="466"/>
      <c r="M73" s="68"/>
    </row>
    <row r="74" spans="1:13" s="446" customFormat="1" ht="18" customHeight="1">
      <c r="C74" s="466"/>
      <c r="D74" s="466"/>
      <c r="E74" s="466"/>
      <c r="F74" s="467"/>
      <c r="G74" s="467"/>
      <c r="H74" s="467"/>
      <c r="I74" s="466"/>
      <c r="J74" s="466"/>
      <c r="K74" s="466"/>
      <c r="L74" s="466"/>
      <c r="M74" s="68"/>
    </row>
    <row r="75" spans="1:13" s="446" customFormat="1" ht="18" customHeight="1">
      <c r="C75" s="466"/>
      <c r="D75" s="466"/>
      <c r="E75" s="466"/>
      <c r="F75" s="467"/>
      <c r="G75" s="467"/>
      <c r="H75" s="467"/>
      <c r="I75" s="466"/>
      <c r="J75" s="466"/>
      <c r="K75" s="466"/>
      <c r="L75" s="466"/>
      <c r="M75" s="68"/>
    </row>
    <row r="76" spans="1:13" s="446" customFormat="1" ht="18" customHeight="1">
      <c r="C76" s="466"/>
      <c r="D76" s="466"/>
      <c r="E76" s="466"/>
      <c r="F76" s="467"/>
      <c r="G76" s="467"/>
      <c r="H76" s="467"/>
      <c r="I76" s="466"/>
      <c r="J76" s="466"/>
      <c r="K76" s="466"/>
      <c r="L76" s="466"/>
      <c r="M76" s="68"/>
    </row>
    <row r="77" spans="1:13" s="446" customFormat="1" ht="18" customHeight="1">
      <c r="C77" s="466"/>
      <c r="D77" s="466"/>
      <c r="E77" s="466"/>
      <c r="F77" s="467"/>
      <c r="G77" s="467"/>
      <c r="H77" s="467"/>
      <c r="I77" s="466"/>
      <c r="J77" s="466"/>
      <c r="K77" s="466"/>
      <c r="L77" s="466"/>
      <c r="M77" s="68"/>
    </row>
    <row r="78" spans="1:13" s="446" customFormat="1" ht="18" customHeight="1">
      <c r="C78" s="466"/>
      <c r="D78" s="466"/>
      <c r="E78" s="466"/>
      <c r="F78" s="467"/>
      <c r="G78" s="467"/>
      <c r="H78" s="467"/>
      <c r="I78" s="466"/>
      <c r="J78" s="466"/>
      <c r="K78" s="466"/>
      <c r="L78" s="466"/>
      <c r="M78" s="68"/>
    </row>
    <row r="79" spans="1:13" s="446" customFormat="1" ht="18" customHeight="1">
      <c r="C79" s="466"/>
      <c r="D79" s="466"/>
      <c r="E79" s="466"/>
      <c r="F79" s="467"/>
      <c r="G79" s="467"/>
      <c r="H79" s="467"/>
      <c r="I79" s="466"/>
      <c r="J79" s="466"/>
      <c r="K79" s="466"/>
      <c r="L79" s="466"/>
      <c r="M79" s="68"/>
    </row>
    <row r="80" spans="1:13" s="446" customFormat="1" ht="18" customHeight="1">
      <c r="C80" s="466"/>
      <c r="D80" s="466"/>
      <c r="E80" s="466"/>
      <c r="F80" s="467"/>
      <c r="G80" s="467"/>
      <c r="H80" s="467"/>
      <c r="I80" s="466"/>
      <c r="J80" s="466"/>
      <c r="K80" s="466"/>
      <c r="L80" s="466"/>
      <c r="M80" s="68"/>
    </row>
    <row r="81" spans="3:13" s="446" customFormat="1" ht="18" customHeight="1">
      <c r="C81" s="466"/>
      <c r="D81" s="466"/>
      <c r="E81" s="466"/>
      <c r="F81" s="467"/>
      <c r="G81" s="467"/>
      <c r="H81" s="467"/>
      <c r="I81" s="466"/>
      <c r="J81" s="466"/>
      <c r="K81" s="466"/>
      <c r="L81" s="466"/>
      <c r="M81" s="68"/>
    </row>
    <row r="82" spans="3:13" s="446" customFormat="1" ht="18" customHeight="1">
      <c r="C82" s="466"/>
      <c r="D82" s="466"/>
      <c r="E82" s="466"/>
      <c r="F82" s="467"/>
      <c r="G82" s="467"/>
      <c r="H82" s="467"/>
      <c r="I82" s="466"/>
      <c r="J82" s="466"/>
      <c r="K82" s="466"/>
      <c r="L82" s="466"/>
      <c r="M82" s="68"/>
    </row>
    <row r="83" spans="3:13" s="446" customFormat="1" ht="18" customHeight="1">
      <c r="C83" s="466"/>
      <c r="D83" s="466"/>
      <c r="E83" s="466"/>
      <c r="F83" s="467"/>
      <c r="G83" s="467"/>
      <c r="H83" s="467"/>
      <c r="I83" s="466"/>
      <c r="J83" s="466"/>
      <c r="K83" s="466"/>
      <c r="L83" s="466"/>
      <c r="M83" s="68"/>
    </row>
    <row r="84" spans="3:13" s="446" customFormat="1" ht="18" customHeight="1">
      <c r="C84" s="466"/>
      <c r="D84" s="466"/>
      <c r="E84" s="466"/>
      <c r="F84" s="467"/>
      <c r="G84" s="467"/>
      <c r="H84" s="467"/>
      <c r="I84" s="466"/>
      <c r="J84" s="466"/>
      <c r="K84" s="466"/>
      <c r="L84" s="466"/>
      <c r="M84" s="68"/>
    </row>
    <row r="85" spans="3:13" s="446" customFormat="1" ht="18" customHeight="1">
      <c r="C85" s="466"/>
      <c r="D85" s="466"/>
      <c r="E85" s="466"/>
      <c r="F85" s="467"/>
      <c r="G85" s="467"/>
      <c r="H85" s="467"/>
      <c r="I85" s="466"/>
      <c r="J85" s="466"/>
      <c r="K85" s="466"/>
      <c r="L85" s="466"/>
      <c r="M85" s="68"/>
    </row>
    <row r="86" spans="3:13" s="446" customFormat="1" ht="18" customHeight="1">
      <c r="C86" s="466"/>
      <c r="D86" s="466"/>
      <c r="E86" s="466"/>
      <c r="F86" s="467"/>
      <c r="G86" s="467"/>
      <c r="H86" s="467"/>
      <c r="I86" s="466"/>
      <c r="J86" s="466"/>
      <c r="K86" s="466"/>
      <c r="L86" s="466"/>
      <c r="M86" s="68"/>
    </row>
    <row r="87" spans="3:13" s="446" customFormat="1" ht="18" customHeight="1">
      <c r="C87" s="466"/>
      <c r="D87" s="466"/>
      <c r="E87" s="466"/>
      <c r="F87" s="467"/>
      <c r="G87" s="467"/>
      <c r="H87" s="467"/>
      <c r="I87" s="466"/>
      <c r="J87" s="466"/>
      <c r="K87" s="466"/>
      <c r="L87" s="466"/>
      <c r="M87" s="68"/>
    </row>
    <row r="88" spans="3:13" s="446" customFormat="1" ht="18" customHeight="1">
      <c r="C88" s="466"/>
      <c r="D88" s="466"/>
      <c r="E88" s="466"/>
      <c r="F88" s="467"/>
      <c r="G88" s="467"/>
      <c r="H88" s="467"/>
      <c r="I88" s="466"/>
      <c r="J88" s="466"/>
      <c r="K88" s="466"/>
      <c r="L88" s="466"/>
      <c r="M88" s="68"/>
    </row>
    <row r="89" spans="3:13" s="446" customFormat="1" ht="18" customHeight="1">
      <c r="C89" s="466"/>
      <c r="D89" s="466"/>
      <c r="E89" s="466"/>
      <c r="F89" s="467"/>
      <c r="G89" s="467"/>
      <c r="H89" s="467"/>
      <c r="I89" s="466"/>
      <c r="J89" s="466"/>
      <c r="K89" s="466"/>
      <c r="L89" s="466"/>
      <c r="M89" s="68"/>
    </row>
    <row r="90" spans="3:13" s="446" customFormat="1" ht="18" customHeight="1">
      <c r="C90" s="466"/>
      <c r="D90" s="466"/>
      <c r="E90" s="466"/>
      <c r="F90" s="467"/>
      <c r="G90" s="467"/>
      <c r="H90" s="467"/>
      <c r="I90" s="466"/>
      <c r="J90" s="466"/>
      <c r="K90" s="466"/>
      <c r="L90" s="466"/>
      <c r="M90" s="68"/>
    </row>
    <row r="91" spans="3:13" s="446" customFormat="1" ht="18" customHeight="1">
      <c r="C91" s="466"/>
      <c r="D91" s="466"/>
      <c r="E91" s="466"/>
      <c r="F91" s="467"/>
      <c r="G91" s="467"/>
      <c r="H91" s="467"/>
      <c r="I91" s="466"/>
      <c r="J91" s="466"/>
      <c r="K91" s="466"/>
      <c r="L91" s="466"/>
      <c r="M91" s="68"/>
    </row>
    <row r="92" spans="3:13" s="446" customFormat="1" ht="18" customHeight="1">
      <c r="C92" s="466"/>
      <c r="D92" s="466"/>
      <c r="E92" s="466"/>
      <c r="F92" s="467"/>
      <c r="G92" s="467"/>
      <c r="H92" s="467"/>
      <c r="I92" s="466"/>
      <c r="J92" s="466"/>
      <c r="K92" s="466"/>
      <c r="L92" s="466"/>
      <c r="M92" s="68"/>
    </row>
    <row r="93" spans="3:13" s="446" customFormat="1" ht="18" customHeight="1">
      <c r="C93" s="466"/>
      <c r="D93" s="466"/>
      <c r="E93" s="466"/>
      <c r="F93" s="467"/>
      <c r="G93" s="467"/>
      <c r="H93" s="467"/>
      <c r="I93" s="466"/>
      <c r="J93" s="466"/>
      <c r="K93" s="466"/>
      <c r="L93" s="466"/>
      <c r="M93" s="68"/>
    </row>
    <row r="94" spans="3:13" s="446" customFormat="1" ht="18" customHeight="1">
      <c r="C94" s="466"/>
      <c r="D94" s="466"/>
      <c r="E94" s="466"/>
      <c r="F94" s="467"/>
      <c r="G94" s="467"/>
      <c r="H94" s="467"/>
      <c r="I94" s="466"/>
      <c r="J94" s="466"/>
      <c r="K94" s="466"/>
      <c r="L94" s="466"/>
      <c r="M94" s="68"/>
    </row>
    <row r="95" spans="3:13" s="446" customFormat="1" ht="18" customHeight="1">
      <c r="C95" s="466"/>
      <c r="D95" s="466"/>
      <c r="E95" s="466"/>
      <c r="F95" s="467"/>
      <c r="G95" s="467"/>
      <c r="H95" s="467"/>
      <c r="I95" s="466"/>
      <c r="J95" s="466"/>
      <c r="K95" s="466"/>
      <c r="L95" s="466"/>
      <c r="M95" s="68"/>
    </row>
    <row r="96" spans="3:13" s="446" customFormat="1" ht="18" customHeight="1">
      <c r="C96" s="466"/>
      <c r="D96" s="466"/>
      <c r="E96" s="466"/>
      <c r="F96" s="467"/>
      <c r="G96" s="467"/>
      <c r="H96" s="467"/>
      <c r="I96" s="466"/>
      <c r="J96" s="466"/>
      <c r="K96" s="466"/>
      <c r="L96" s="466"/>
      <c r="M96" s="68"/>
    </row>
    <row r="97" spans="3:13" s="446" customFormat="1" ht="18" customHeight="1">
      <c r="C97" s="466"/>
      <c r="D97" s="466"/>
      <c r="E97" s="466"/>
      <c r="F97" s="467"/>
      <c r="G97" s="467"/>
      <c r="H97" s="467"/>
      <c r="I97" s="466"/>
      <c r="J97" s="466"/>
      <c r="K97" s="466"/>
      <c r="L97" s="466"/>
      <c r="M97" s="68"/>
    </row>
    <row r="98" spans="3:13" s="446" customFormat="1" ht="18" customHeight="1">
      <c r="C98" s="466"/>
      <c r="D98" s="466"/>
      <c r="E98" s="466"/>
      <c r="F98" s="467"/>
      <c r="G98" s="467"/>
      <c r="H98" s="467"/>
      <c r="I98" s="466"/>
      <c r="J98" s="466"/>
      <c r="K98" s="466"/>
      <c r="L98" s="466"/>
      <c r="M98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selection activeCell="B4" sqref="B4"/>
    </sheetView>
  </sheetViews>
  <sheetFormatPr defaultColWidth="12.6640625" defaultRowHeight="15.6"/>
  <cols>
    <col min="1" max="1" width="10.109375" style="89" customWidth="1"/>
    <col min="2" max="2" width="49.6640625" style="89" customWidth="1"/>
    <col min="3" max="5" width="17.33203125" style="90" customWidth="1"/>
    <col min="6" max="6" width="14.44140625" style="388" bestFit="1" customWidth="1"/>
    <col min="7" max="8" width="17.33203125" style="90" customWidth="1"/>
    <col min="9" max="9" width="17.33203125" style="89" customWidth="1"/>
    <col min="10" max="10" width="12.6640625" style="89"/>
    <col min="11" max="11" width="10.44140625" style="89" customWidth="1"/>
    <col min="12" max="12" width="12.109375" style="89" customWidth="1"/>
    <col min="13" max="13" width="9.6640625" style="89" bestFit="1" customWidth="1"/>
    <col min="14" max="16384" width="12.6640625" style="89"/>
  </cols>
  <sheetData>
    <row r="1" spans="1:14">
      <c r="A1" s="648" t="s">
        <v>3</v>
      </c>
      <c r="B1" s="648"/>
      <c r="C1" s="648"/>
      <c r="D1" s="648"/>
      <c r="E1" s="648"/>
      <c r="F1" s="648"/>
      <c r="G1" s="648"/>
      <c r="H1" s="648"/>
      <c r="I1" s="648"/>
      <c r="J1" s="330"/>
      <c r="L1" s="330"/>
      <c r="M1" s="330"/>
      <c r="N1" s="330"/>
    </row>
    <row r="2" spans="1:14">
      <c r="A2" s="648" t="s">
        <v>540</v>
      </c>
      <c r="B2" s="648"/>
      <c r="C2" s="648"/>
      <c r="D2" s="648"/>
      <c r="E2" s="648"/>
      <c r="F2" s="648"/>
      <c r="G2" s="648"/>
      <c r="H2" s="648"/>
      <c r="I2" s="648"/>
      <c r="J2" s="330"/>
      <c r="L2" s="330"/>
      <c r="M2" s="330"/>
      <c r="N2" s="330"/>
    </row>
    <row r="3" spans="1:14">
      <c r="A3" s="649" t="s">
        <v>589</v>
      </c>
      <c r="B3" s="649"/>
      <c r="C3" s="649"/>
      <c r="D3" s="649"/>
      <c r="E3" s="649"/>
      <c r="F3" s="649"/>
      <c r="G3" s="649"/>
      <c r="H3" s="649"/>
      <c r="I3" s="649"/>
      <c r="J3" s="330"/>
      <c r="L3" s="330"/>
      <c r="M3" s="330"/>
      <c r="N3" s="330"/>
    </row>
    <row r="4" spans="1:14">
      <c r="A4" s="399"/>
      <c r="B4" s="400"/>
      <c r="C4" s="401"/>
      <c r="D4" s="369"/>
      <c r="E4" s="401"/>
      <c r="F4" s="401"/>
      <c r="G4" s="516"/>
      <c r="H4" s="516"/>
      <c r="I4" s="330"/>
      <c r="J4" s="330"/>
      <c r="L4" s="330"/>
      <c r="M4" s="330"/>
      <c r="N4" s="330"/>
    </row>
    <row r="5" spans="1:14" ht="69" customHeight="1">
      <c r="A5" s="402" t="s">
        <v>1</v>
      </c>
      <c r="B5" s="403" t="s">
        <v>0</v>
      </c>
      <c r="C5" s="404" t="s">
        <v>197</v>
      </c>
      <c r="D5" s="405" t="s">
        <v>30</v>
      </c>
      <c r="E5" s="405" t="s">
        <v>252</v>
      </c>
      <c r="F5" s="405" t="s">
        <v>31</v>
      </c>
      <c r="G5" s="405" t="s">
        <v>138</v>
      </c>
      <c r="H5" s="405" t="s">
        <v>137</v>
      </c>
      <c r="I5" s="405" t="s">
        <v>180</v>
      </c>
      <c r="J5" s="330"/>
      <c r="L5" s="330"/>
      <c r="M5" s="330"/>
      <c r="N5" s="330"/>
    </row>
    <row r="6" spans="1:14" ht="16.2">
      <c r="A6" s="425" t="s">
        <v>22</v>
      </c>
      <c r="B6" s="83" t="s">
        <v>7</v>
      </c>
      <c r="C6" s="517">
        <v>417.4</v>
      </c>
      <c r="D6" s="518">
        <v>-0.44999999999993179</v>
      </c>
      <c r="E6" s="517">
        <v>416.95000000000005</v>
      </c>
      <c r="F6" s="519" t="s">
        <v>551</v>
      </c>
      <c r="G6" s="520">
        <v>398.89999999999981</v>
      </c>
      <c r="H6" s="520">
        <v>402.55514643436919</v>
      </c>
      <c r="I6" s="517">
        <v>18.050000000000239</v>
      </c>
      <c r="J6" s="521"/>
      <c r="K6" s="330"/>
      <c r="L6" s="521"/>
      <c r="M6" s="521"/>
      <c r="N6" s="521"/>
    </row>
    <row r="7" spans="1:14" ht="16.2">
      <c r="A7" s="84" t="s">
        <v>313</v>
      </c>
      <c r="B7" s="85"/>
      <c r="C7" s="522">
        <v>417.4</v>
      </c>
      <c r="D7" s="522">
        <v>-0.44999999999993179</v>
      </c>
      <c r="E7" s="522">
        <v>416.95000000000005</v>
      </c>
      <c r="F7" s="523">
        <v>0</v>
      </c>
      <c r="G7" s="522">
        <v>398.89999999999981</v>
      </c>
      <c r="H7" s="522">
        <v>402.55514643436919</v>
      </c>
      <c r="I7" s="522">
        <v>18.050000000000239</v>
      </c>
      <c r="J7" s="521"/>
      <c r="K7" s="330"/>
      <c r="L7" s="521"/>
      <c r="M7" s="521"/>
      <c r="N7" s="521"/>
    </row>
    <row r="8" spans="1:14" ht="16.2">
      <c r="A8" s="426" t="s">
        <v>23</v>
      </c>
      <c r="B8" s="83" t="s">
        <v>8</v>
      </c>
      <c r="C8" s="520">
        <v>10310</v>
      </c>
      <c r="D8" s="518">
        <v>-95.100000000000364</v>
      </c>
      <c r="E8" s="517">
        <v>10214.9</v>
      </c>
      <c r="F8" s="519" t="s">
        <v>539</v>
      </c>
      <c r="G8" s="520">
        <v>9822.5999999999913</v>
      </c>
      <c r="H8" s="520">
        <v>9847.9037463149871</v>
      </c>
      <c r="I8" s="520">
        <v>392.30000000000837</v>
      </c>
      <c r="J8" s="521"/>
      <c r="K8" s="330"/>
      <c r="L8" s="521"/>
      <c r="M8" s="521"/>
      <c r="N8" s="521"/>
    </row>
    <row r="9" spans="1:14" ht="16.2">
      <c r="A9" s="426" t="s">
        <v>24</v>
      </c>
      <c r="B9" s="83" t="s">
        <v>9</v>
      </c>
      <c r="C9" s="520">
        <v>471.4</v>
      </c>
      <c r="D9" s="524">
        <v>-3.0999999999999659</v>
      </c>
      <c r="E9" s="524">
        <v>468.3</v>
      </c>
      <c r="F9" s="519" t="s">
        <v>590</v>
      </c>
      <c r="G9" s="520">
        <v>477.19999999999987</v>
      </c>
      <c r="H9" s="520">
        <v>466.00036169217537</v>
      </c>
      <c r="I9" s="520">
        <v>-8.8999999999998636</v>
      </c>
      <c r="J9" s="521"/>
      <c r="K9" s="330"/>
      <c r="L9" s="521"/>
      <c r="M9" s="525"/>
      <c r="N9" s="521"/>
    </row>
    <row r="10" spans="1:14" ht="16.2">
      <c r="A10" s="426" t="s">
        <v>25</v>
      </c>
      <c r="B10" s="83" t="s">
        <v>170</v>
      </c>
      <c r="C10" s="520">
        <v>0</v>
      </c>
      <c r="D10" s="524">
        <v>0</v>
      </c>
      <c r="E10" s="524">
        <v>0</v>
      </c>
      <c r="F10" s="519"/>
      <c r="G10" s="520">
        <v>0</v>
      </c>
      <c r="H10" s="520">
        <v>0</v>
      </c>
      <c r="I10" s="520">
        <v>0</v>
      </c>
      <c r="J10" s="521"/>
      <c r="K10" s="330"/>
      <c r="L10" s="521"/>
      <c r="M10" s="526"/>
      <c r="N10" s="521"/>
    </row>
    <row r="11" spans="1:14" ht="16.2">
      <c r="A11" s="426" t="s">
        <v>26</v>
      </c>
      <c r="B11" s="83" t="s">
        <v>10</v>
      </c>
      <c r="C11" s="520">
        <v>0</v>
      </c>
      <c r="D11" s="524">
        <v>0</v>
      </c>
      <c r="E11" s="524">
        <v>0</v>
      </c>
      <c r="F11" s="519"/>
      <c r="G11" s="520">
        <v>0</v>
      </c>
      <c r="H11" s="520">
        <v>0</v>
      </c>
      <c r="I11" s="520">
        <v>0</v>
      </c>
      <c r="J11" s="521"/>
      <c r="K11" s="521"/>
      <c r="L11" s="521"/>
      <c r="M11" s="526"/>
      <c r="N11" s="521"/>
    </row>
    <row r="12" spans="1:14" ht="16.2">
      <c r="A12" s="426" t="s">
        <v>27</v>
      </c>
      <c r="B12" s="83" t="s">
        <v>172</v>
      </c>
      <c r="C12" s="520">
        <v>0</v>
      </c>
      <c r="D12" s="524">
        <v>0</v>
      </c>
      <c r="E12" s="524">
        <v>0</v>
      </c>
      <c r="F12" s="519"/>
      <c r="G12" s="520">
        <v>0</v>
      </c>
      <c r="H12" s="520">
        <v>0</v>
      </c>
      <c r="I12" s="520">
        <v>0</v>
      </c>
      <c r="J12" s="521"/>
      <c r="K12" s="521"/>
      <c r="L12" s="521"/>
      <c r="M12" s="526"/>
      <c r="N12" s="521"/>
    </row>
    <row r="13" spans="1:14" ht="16.2">
      <c r="A13" s="426" t="s">
        <v>106</v>
      </c>
      <c r="B13" s="83" t="s">
        <v>11</v>
      </c>
      <c r="C13" s="520">
        <v>0</v>
      </c>
      <c r="D13" s="524">
        <v>0</v>
      </c>
      <c r="E13" s="524">
        <v>0</v>
      </c>
      <c r="F13" s="519"/>
      <c r="G13" s="520">
        <v>0</v>
      </c>
      <c r="H13" s="520">
        <v>0</v>
      </c>
      <c r="I13" s="520">
        <v>0</v>
      </c>
      <c r="J13" s="521"/>
      <c r="K13" s="521"/>
      <c r="L13" s="521"/>
      <c r="M13" s="526"/>
      <c r="N13" s="521"/>
    </row>
    <row r="14" spans="1:14" ht="16.2">
      <c r="A14" s="426" t="s">
        <v>107</v>
      </c>
      <c r="B14" s="83" t="s">
        <v>181</v>
      </c>
      <c r="C14" s="520">
        <v>0</v>
      </c>
      <c r="D14" s="524">
        <v>0</v>
      </c>
      <c r="E14" s="524">
        <v>0</v>
      </c>
      <c r="F14" s="519"/>
      <c r="G14" s="520">
        <v>0</v>
      </c>
      <c r="H14" s="520">
        <v>0</v>
      </c>
      <c r="I14" s="520">
        <v>0</v>
      </c>
      <c r="J14" s="521"/>
      <c r="K14" s="525"/>
      <c r="L14" s="521"/>
      <c r="M14" s="526"/>
      <c r="N14" s="521"/>
    </row>
    <row r="15" spans="1:14" ht="16.2">
      <c r="A15" s="426" t="s">
        <v>108</v>
      </c>
      <c r="B15" s="83" t="s">
        <v>12</v>
      </c>
      <c r="C15" s="520">
        <v>0</v>
      </c>
      <c r="D15" s="524">
        <v>0</v>
      </c>
      <c r="E15" s="524">
        <v>0</v>
      </c>
      <c r="F15" s="519"/>
      <c r="G15" s="520">
        <v>0</v>
      </c>
      <c r="H15" s="520">
        <v>0</v>
      </c>
      <c r="I15" s="520">
        <v>0</v>
      </c>
      <c r="J15" s="521"/>
      <c r="K15" s="525"/>
      <c r="L15" s="521"/>
      <c r="M15" s="526"/>
      <c r="N15" s="521"/>
    </row>
    <row r="16" spans="1:14" ht="16.2">
      <c r="A16" s="426" t="s">
        <v>109</v>
      </c>
      <c r="B16" s="83" t="s">
        <v>13</v>
      </c>
      <c r="C16" s="520">
        <v>0</v>
      </c>
      <c r="D16" s="524">
        <v>0</v>
      </c>
      <c r="E16" s="524">
        <v>0</v>
      </c>
      <c r="F16" s="519"/>
      <c r="G16" s="520">
        <v>0</v>
      </c>
      <c r="H16" s="520">
        <v>0</v>
      </c>
      <c r="I16" s="520">
        <v>0</v>
      </c>
      <c r="J16" s="521"/>
      <c r="K16" s="525"/>
      <c r="L16" s="521"/>
      <c r="M16" s="526"/>
      <c r="N16" s="521"/>
    </row>
    <row r="17" spans="1:14" ht="16.2">
      <c r="A17" s="426" t="s">
        <v>110</v>
      </c>
      <c r="B17" s="83" t="s">
        <v>130</v>
      </c>
      <c r="C17" s="520">
        <v>0</v>
      </c>
      <c r="D17" s="524">
        <v>0</v>
      </c>
      <c r="E17" s="524">
        <v>0</v>
      </c>
      <c r="F17" s="519"/>
      <c r="G17" s="520">
        <v>0</v>
      </c>
      <c r="H17" s="520">
        <v>0</v>
      </c>
      <c r="I17" s="520">
        <v>0</v>
      </c>
      <c r="J17" s="521"/>
      <c r="K17" s="525"/>
      <c r="L17" s="521"/>
      <c r="M17" s="526"/>
      <c r="N17" s="521"/>
    </row>
    <row r="18" spans="1:14" ht="16.2">
      <c r="A18" s="426" t="s">
        <v>111</v>
      </c>
      <c r="B18" s="83" t="s">
        <v>177</v>
      </c>
      <c r="C18" s="520">
        <v>0</v>
      </c>
      <c r="D18" s="524">
        <v>0</v>
      </c>
      <c r="E18" s="524">
        <v>0</v>
      </c>
      <c r="F18" s="519"/>
      <c r="G18" s="520">
        <v>0</v>
      </c>
      <c r="H18" s="520">
        <v>0</v>
      </c>
      <c r="I18" s="520">
        <v>0</v>
      </c>
      <c r="J18" s="521"/>
      <c r="K18" s="527"/>
      <c r="L18" s="521"/>
      <c r="M18" s="526"/>
      <c r="N18" s="526"/>
    </row>
    <row r="19" spans="1:14" ht="16.2">
      <c r="A19" s="426" t="s">
        <v>271</v>
      </c>
      <c r="B19" s="83" t="s">
        <v>335</v>
      </c>
      <c r="C19" s="520">
        <v>0</v>
      </c>
      <c r="D19" s="524">
        <v>120.6</v>
      </c>
      <c r="E19" s="524">
        <v>120.6</v>
      </c>
      <c r="F19" s="519" t="s">
        <v>255</v>
      </c>
      <c r="G19" s="520">
        <v>115.60000000000001</v>
      </c>
      <c r="H19" s="520">
        <v>113.95081774850568</v>
      </c>
      <c r="I19" s="520">
        <v>4.9999999999999858</v>
      </c>
      <c r="J19" s="521"/>
      <c r="K19" s="527"/>
      <c r="L19" s="521"/>
      <c r="M19" s="526"/>
      <c r="N19" s="526"/>
    </row>
    <row r="20" spans="1:14" ht="16.2">
      <c r="A20" s="84" t="s">
        <v>314</v>
      </c>
      <c r="B20" s="85"/>
      <c r="C20" s="522">
        <v>10781.4</v>
      </c>
      <c r="D20" s="522">
        <v>22.399999999999665</v>
      </c>
      <c r="E20" s="522">
        <v>10803.8</v>
      </c>
      <c r="F20" s="523">
        <v>0</v>
      </c>
      <c r="G20" s="522">
        <v>10415.399999999992</v>
      </c>
      <c r="H20" s="522">
        <v>10427.854925755668</v>
      </c>
      <c r="I20" s="522">
        <v>388.4000000000085</v>
      </c>
      <c r="J20" s="521"/>
      <c r="K20" s="527"/>
      <c r="L20" s="525"/>
      <c r="M20" s="526"/>
      <c r="N20" s="526"/>
    </row>
    <row r="21" spans="1:14" ht="16.2">
      <c r="A21" s="426" t="s">
        <v>28</v>
      </c>
      <c r="B21" s="83" t="s">
        <v>14</v>
      </c>
      <c r="C21" s="520">
        <v>0</v>
      </c>
      <c r="D21" s="524">
        <v>0</v>
      </c>
      <c r="E21" s="524">
        <v>0</v>
      </c>
      <c r="F21" s="519"/>
      <c r="G21" s="520">
        <v>0</v>
      </c>
      <c r="H21" s="520">
        <v>0</v>
      </c>
      <c r="I21" s="520">
        <v>0</v>
      </c>
      <c r="J21" s="521"/>
      <c r="K21" s="527"/>
      <c r="L21" s="525"/>
      <c r="M21" s="526"/>
      <c r="N21" s="526"/>
    </row>
    <row r="22" spans="1:14" ht="16.2">
      <c r="A22" s="426" t="s">
        <v>112</v>
      </c>
      <c r="B22" s="83" t="s">
        <v>15</v>
      </c>
      <c r="C22" s="520">
        <v>0</v>
      </c>
      <c r="D22" s="524">
        <v>0</v>
      </c>
      <c r="E22" s="524">
        <v>0</v>
      </c>
      <c r="F22" s="519"/>
      <c r="G22" s="520">
        <v>0</v>
      </c>
      <c r="H22" s="520">
        <v>0</v>
      </c>
      <c r="I22" s="520">
        <v>0</v>
      </c>
      <c r="J22" s="521"/>
      <c r="K22" s="527"/>
      <c r="L22" s="525"/>
      <c r="M22" s="526"/>
      <c r="N22" s="526"/>
    </row>
    <row r="23" spans="1:14" ht="16.2">
      <c r="A23" s="426" t="s">
        <v>113</v>
      </c>
      <c r="B23" s="83" t="s">
        <v>16</v>
      </c>
      <c r="C23" s="520">
        <v>2</v>
      </c>
      <c r="D23" s="524">
        <v>0</v>
      </c>
      <c r="E23" s="524">
        <v>2</v>
      </c>
      <c r="F23" s="519"/>
      <c r="G23" s="520">
        <v>2</v>
      </c>
      <c r="H23" s="520">
        <v>2.0602608757943872</v>
      </c>
      <c r="I23" s="520">
        <v>0</v>
      </c>
      <c r="J23" s="521"/>
      <c r="K23" s="105"/>
      <c r="L23" s="525"/>
      <c r="M23" s="526"/>
      <c r="N23" s="526"/>
    </row>
    <row r="24" spans="1:14" ht="16.2">
      <c r="A24" s="426" t="s">
        <v>99</v>
      </c>
      <c r="B24" s="83" t="s">
        <v>134</v>
      </c>
      <c r="C24" s="520">
        <v>5.5</v>
      </c>
      <c r="D24" s="524">
        <v>0.5</v>
      </c>
      <c r="E24" s="524">
        <v>6</v>
      </c>
      <c r="F24" s="519" t="s">
        <v>551</v>
      </c>
      <c r="G24" s="520">
        <v>7.5619318181818178</v>
      </c>
      <c r="H24" s="520">
        <v>6.1604795094532703</v>
      </c>
      <c r="I24" s="520">
        <v>-1.5619318181818178</v>
      </c>
      <c r="J24" s="521"/>
      <c r="K24" s="105"/>
      <c r="L24" s="525"/>
      <c r="M24" s="526"/>
      <c r="N24" s="526"/>
    </row>
    <row r="25" spans="1:14" ht="16.2">
      <c r="A25" s="426" t="s">
        <v>100</v>
      </c>
      <c r="B25" s="83" t="s">
        <v>315</v>
      </c>
      <c r="C25" s="520">
        <v>0</v>
      </c>
      <c r="D25" s="524">
        <v>0</v>
      </c>
      <c r="E25" s="524">
        <v>0</v>
      </c>
      <c r="F25" s="519"/>
      <c r="G25" s="520">
        <v>0</v>
      </c>
      <c r="H25" s="520">
        <v>0.41157538114059855</v>
      </c>
      <c r="I25" s="520">
        <v>0</v>
      </c>
      <c r="J25" s="521"/>
      <c r="K25" s="105"/>
      <c r="L25" s="525"/>
      <c r="M25" s="526"/>
      <c r="N25" s="526"/>
    </row>
    <row r="26" spans="1:14" ht="16.2">
      <c r="A26" s="426" t="s">
        <v>114</v>
      </c>
      <c r="B26" s="83" t="s">
        <v>135</v>
      </c>
      <c r="C26" s="520">
        <v>58.1</v>
      </c>
      <c r="D26" s="524">
        <v>0</v>
      </c>
      <c r="E26" s="524">
        <v>58.099999999999994</v>
      </c>
      <c r="F26" s="519"/>
      <c r="G26" s="520">
        <v>51.3</v>
      </c>
      <c r="H26" s="520">
        <v>51.549265204056475</v>
      </c>
      <c r="I26" s="520">
        <v>6.7999999999999972</v>
      </c>
      <c r="J26" s="521"/>
      <c r="K26" s="105"/>
      <c r="L26" s="525"/>
      <c r="M26" s="525"/>
      <c r="N26" s="526"/>
    </row>
    <row r="27" spans="1:14" ht="16.2">
      <c r="A27" s="84" t="s">
        <v>316</v>
      </c>
      <c r="B27" s="85"/>
      <c r="C27" s="522">
        <v>65.599999999999994</v>
      </c>
      <c r="D27" s="522">
        <v>0.5</v>
      </c>
      <c r="E27" s="522">
        <v>66.099999999999994</v>
      </c>
      <c r="F27" s="523">
        <v>0</v>
      </c>
      <c r="G27" s="522">
        <v>60.861931818181816</v>
      </c>
      <c r="H27" s="522">
        <v>60.181580970444728</v>
      </c>
      <c r="I27" s="522">
        <v>5.2380681818181793</v>
      </c>
      <c r="J27" s="521"/>
      <c r="K27" s="105"/>
      <c r="L27" s="525"/>
      <c r="M27" s="525"/>
      <c r="N27" s="526"/>
    </row>
    <row r="28" spans="1:14" ht="16.2">
      <c r="A28" s="426" t="s">
        <v>101</v>
      </c>
      <c r="B28" s="83" t="s">
        <v>17</v>
      </c>
      <c r="C28" s="520">
        <v>743.4</v>
      </c>
      <c r="D28" s="524">
        <v>2</v>
      </c>
      <c r="E28" s="524">
        <v>745.4</v>
      </c>
      <c r="F28" s="519" t="s">
        <v>338</v>
      </c>
      <c r="G28" s="520">
        <v>722.6</v>
      </c>
      <c r="H28" s="520">
        <v>709.55576595141213</v>
      </c>
      <c r="I28" s="520">
        <v>22.799999999999955</v>
      </c>
      <c r="J28" s="521"/>
      <c r="K28" s="105"/>
      <c r="L28" s="525"/>
      <c r="M28" s="525"/>
      <c r="N28" s="526"/>
    </row>
    <row r="29" spans="1:14" ht="16.2">
      <c r="A29" s="426" t="s">
        <v>102</v>
      </c>
      <c r="B29" s="83" t="s">
        <v>115</v>
      </c>
      <c r="C29" s="520">
        <v>49.8</v>
      </c>
      <c r="D29" s="524">
        <v>0</v>
      </c>
      <c r="E29" s="524">
        <v>49.800000000000004</v>
      </c>
      <c r="F29" s="519"/>
      <c r="G29" s="520">
        <v>47.2</v>
      </c>
      <c r="H29" s="520">
        <v>45.509761425530293</v>
      </c>
      <c r="I29" s="520">
        <v>2.6000000000000014</v>
      </c>
      <c r="J29" s="521"/>
      <c r="K29" s="105"/>
      <c r="L29" s="525"/>
      <c r="M29" s="525"/>
      <c r="N29" s="526"/>
    </row>
    <row r="30" spans="1:14" ht="16.2">
      <c r="A30" s="426" t="s">
        <v>103</v>
      </c>
      <c r="B30" s="83" t="s">
        <v>182</v>
      </c>
      <c r="C30" s="520">
        <v>0</v>
      </c>
      <c r="D30" s="524">
        <v>0</v>
      </c>
      <c r="E30" s="524">
        <v>0</v>
      </c>
      <c r="F30" s="519"/>
      <c r="G30" s="520">
        <v>0</v>
      </c>
      <c r="H30" s="520">
        <v>0</v>
      </c>
      <c r="I30" s="520">
        <v>0</v>
      </c>
      <c r="J30" s="521"/>
      <c r="K30" s="525"/>
      <c r="L30" s="525"/>
      <c r="M30" s="521"/>
    </row>
    <row r="31" spans="1:14" ht="16.2">
      <c r="A31" s="650" t="s">
        <v>317</v>
      </c>
      <c r="B31" s="651"/>
      <c r="C31" s="528">
        <v>793.19999999999993</v>
      </c>
      <c r="D31" s="528">
        <v>2</v>
      </c>
      <c r="E31" s="528">
        <v>795.19999999999993</v>
      </c>
      <c r="F31" s="523">
        <v>0</v>
      </c>
      <c r="G31" s="528">
        <v>769.80000000000007</v>
      </c>
      <c r="H31" s="528">
        <v>755.06552737694244</v>
      </c>
      <c r="I31" s="528">
        <v>25.399999999999956</v>
      </c>
      <c r="J31" s="521"/>
      <c r="K31" s="525"/>
      <c r="L31" s="525"/>
      <c r="M31" s="521"/>
    </row>
    <row r="32" spans="1:14" ht="16.2">
      <c r="A32" s="426" t="s">
        <v>104</v>
      </c>
      <c r="B32" s="86" t="s">
        <v>18</v>
      </c>
      <c r="C32" s="517">
        <v>320.10000000000002</v>
      </c>
      <c r="D32" s="524">
        <v>16.899999999999977</v>
      </c>
      <c r="E32" s="524">
        <v>337</v>
      </c>
      <c r="F32" s="529" t="s">
        <v>538</v>
      </c>
      <c r="G32" s="520">
        <v>305.89999999999998</v>
      </c>
      <c r="H32" s="520">
        <v>299.33732460677828</v>
      </c>
      <c r="I32" s="520">
        <v>31.100000000000023</v>
      </c>
      <c r="J32" s="521"/>
      <c r="K32" s="525"/>
      <c r="L32" s="525"/>
      <c r="M32" s="521"/>
    </row>
    <row r="33" spans="1:15" ht="16.2">
      <c r="A33" s="426" t="s">
        <v>272</v>
      </c>
      <c r="B33" s="83" t="s">
        <v>19</v>
      </c>
      <c r="C33" s="520">
        <v>209</v>
      </c>
      <c r="D33" s="524">
        <v>-4.2999999999999829</v>
      </c>
      <c r="E33" s="524">
        <v>204.70000000000002</v>
      </c>
      <c r="F33" s="519" t="s">
        <v>538</v>
      </c>
      <c r="G33" s="520">
        <v>166.40000000000003</v>
      </c>
      <c r="H33" s="520">
        <v>166.17359623847167</v>
      </c>
      <c r="I33" s="520">
        <v>38.299999999999983</v>
      </c>
      <c r="J33" s="521"/>
      <c r="K33" s="521"/>
      <c r="L33" s="521"/>
      <c r="M33" s="521"/>
    </row>
    <row r="34" spans="1:15" ht="16.2">
      <c r="A34" s="426" t="s">
        <v>273</v>
      </c>
      <c r="B34" s="83" t="s">
        <v>20</v>
      </c>
      <c r="C34" s="520">
        <v>17</v>
      </c>
      <c r="D34" s="524">
        <v>-8.0000000000001847E-2</v>
      </c>
      <c r="E34" s="524">
        <v>16.919999999999998</v>
      </c>
      <c r="F34" s="519" t="s">
        <v>551</v>
      </c>
      <c r="G34" s="520">
        <v>14.2</v>
      </c>
      <c r="H34" s="520">
        <v>14.313710284483051</v>
      </c>
      <c r="I34" s="520">
        <v>2.7199999999999989</v>
      </c>
      <c r="J34" s="521"/>
      <c r="K34" s="521"/>
      <c r="L34" s="521"/>
      <c r="M34" s="521"/>
    </row>
    <row r="35" spans="1:15" ht="16.2">
      <c r="A35" s="426" t="s">
        <v>274</v>
      </c>
      <c r="B35" s="83" t="s">
        <v>21</v>
      </c>
      <c r="C35" s="520">
        <v>226</v>
      </c>
      <c r="D35" s="524">
        <v>11.050000000000011</v>
      </c>
      <c r="E35" s="524">
        <v>237.05</v>
      </c>
      <c r="F35" s="519" t="s">
        <v>338</v>
      </c>
      <c r="G35" s="520">
        <v>213.54630681818179</v>
      </c>
      <c r="H35" s="520">
        <v>204.84843243731393</v>
      </c>
      <c r="I35" s="520">
        <v>23.503693181818221</v>
      </c>
      <c r="J35" s="521"/>
      <c r="K35" s="521"/>
      <c r="L35" s="521"/>
      <c r="M35" s="521"/>
    </row>
    <row r="36" spans="1:15" s="530" customFormat="1" ht="16.2">
      <c r="A36" s="84" t="s">
        <v>318</v>
      </c>
      <c r="B36" s="87"/>
      <c r="C36" s="522">
        <v>772.1</v>
      </c>
      <c r="D36" s="522">
        <v>23.570000000000004</v>
      </c>
      <c r="E36" s="522">
        <v>795.67000000000007</v>
      </c>
      <c r="F36" s="523">
        <v>0</v>
      </c>
      <c r="G36" s="522">
        <v>700.04630681818185</v>
      </c>
      <c r="H36" s="522">
        <v>684.67306356704694</v>
      </c>
      <c r="I36" s="522">
        <v>95.623693181818226</v>
      </c>
      <c r="J36" s="521"/>
      <c r="K36" s="521"/>
      <c r="L36" s="521"/>
      <c r="M36" s="521"/>
    </row>
    <row r="37" spans="1:15" ht="16.2">
      <c r="A37" s="426" t="s">
        <v>105</v>
      </c>
      <c r="B37" s="83" t="s">
        <v>183</v>
      </c>
      <c r="C37" s="520">
        <v>0</v>
      </c>
      <c r="D37" s="524">
        <v>0</v>
      </c>
      <c r="E37" s="524">
        <v>0</v>
      </c>
      <c r="F37" s="519"/>
      <c r="G37" s="520">
        <v>9.1392045454545467</v>
      </c>
      <c r="H37" s="520">
        <v>10.278818586682039</v>
      </c>
      <c r="I37" s="520">
        <v>-9.1392045454545467</v>
      </c>
      <c r="J37" s="521"/>
      <c r="K37" s="521"/>
      <c r="L37" s="521"/>
      <c r="M37" s="521"/>
    </row>
    <row r="38" spans="1:15" s="530" customFormat="1" ht="16.2">
      <c r="A38" s="84" t="s">
        <v>319</v>
      </c>
      <c r="B38" s="87"/>
      <c r="C38" s="522">
        <v>0</v>
      </c>
      <c r="D38" s="522">
        <v>0</v>
      </c>
      <c r="E38" s="522">
        <v>0</v>
      </c>
      <c r="F38" s="523">
        <v>0</v>
      </c>
      <c r="G38" s="522">
        <v>9.1392045454545467</v>
      </c>
      <c r="H38" s="522">
        <v>10.278818586682039</v>
      </c>
      <c r="I38" s="522">
        <v>-9.1392045454545467</v>
      </c>
      <c r="J38" s="521"/>
      <c r="K38" s="521"/>
      <c r="L38" s="521"/>
      <c r="M38" s="521"/>
    </row>
    <row r="39" spans="1:15" s="530" customFormat="1" ht="41.25" customHeight="1">
      <c r="A39" s="88" t="s">
        <v>2</v>
      </c>
      <c r="B39" s="87"/>
      <c r="C39" s="522">
        <v>12829.699999999999</v>
      </c>
      <c r="D39" s="522">
        <v>48.01999999999974</v>
      </c>
      <c r="E39" s="522">
        <v>12877.72</v>
      </c>
      <c r="F39" s="523">
        <v>0</v>
      </c>
      <c r="G39" s="522">
        <v>12354.14744318181</v>
      </c>
      <c r="H39" s="522">
        <v>12340.609062691154</v>
      </c>
      <c r="I39" s="522">
        <v>523.57255681819061</v>
      </c>
      <c r="J39" s="521"/>
      <c r="K39" s="521"/>
      <c r="L39" s="521"/>
      <c r="M39" s="521"/>
    </row>
    <row r="40" spans="1:15">
      <c r="I40" s="531"/>
      <c r="K40" s="521"/>
      <c r="O40" s="531"/>
    </row>
    <row r="41" spans="1:15" s="414" customFormat="1" ht="15" customHeight="1">
      <c r="A41" s="413" t="s">
        <v>426</v>
      </c>
      <c r="B41" s="488" t="s">
        <v>446</v>
      </c>
      <c r="F41" s="415"/>
      <c r="K41" s="532"/>
      <c r="L41" s="533"/>
    </row>
    <row r="42" spans="1:15" s="414" customFormat="1" ht="15" customHeight="1">
      <c r="A42" s="413"/>
      <c r="B42" s="488" t="s">
        <v>449</v>
      </c>
      <c r="F42" s="415"/>
      <c r="K42" s="532"/>
      <c r="L42" s="533"/>
    </row>
    <row r="43" spans="1:15" s="414" customFormat="1" ht="15" customHeight="1">
      <c r="A43" s="413"/>
      <c r="B43" s="488" t="s">
        <v>450</v>
      </c>
      <c r="F43" s="415"/>
      <c r="K43" s="532"/>
      <c r="L43" s="533"/>
    </row>
    <row r="44" spans="1:15" s="414" customFormat="1" ht="15" customHeight="1">
      <c r="A44" s="413"/>
      <c r="B44" s="488" t="s">
        <v>451</v>
      </c>
      <c r="F44" s="415"/>
      <c r="K44" s="532"/>
      <c r="L44" s="533"/>
    </row>
    <row r="45" spans="1:15" s="414" customFormat="1" ht="15" customHeight="1">
      <c r="A45" s="413"/>
      <c r="B45" s="488" t="s">
        <v>452</v>
      </c>
      <c r="F45" s="415"/>
      <c r="K45" s="532"/>
      <c r="L45" s="533"/>
    </row>
    <row r="46" spans="1:15" s="414" customFormat="1" ht="16.2">
      <c r="A46" s="413"/>
      <c r="B46" s="488" t="s">
        <v>591</v>
      </c>
      <c r="F46" s="415"/>
      <c r="K46" s="532"/>
      <c r="L46" s="533"/>
    </row>
    <row r="47" spans="1:15" s="414" customFormat="1" ht="15" customHeight="1">
      <c r="A47" s="416" t="s">
        <v>168</v>
      </c>
      <c r="B47" s="534" t="s">
        <v>440</v>
      </c>
      <c r="F47" s="415"/>
      <c r="K47" s="532"/>
      <c r="L47" s="533"/>
    </row>
    <row r="48" spans="1:15" s="414" customFormat="1" ht="15" customHeight="1">
      <c r="A48" s="413"/>
      <c r="B48" s="488" t="s">
        <v>453</v>
      </c>
      <c r="F48" s="415"/>
      <c r="K48" s="532"/>
      <c r="L48" s="533"/>
    </row>
    <row r="49" spans="1:12" s="414" customFormat="1" ht="16.2">
      <c r="A49" s="413"/>
      <c r="B49" s="488" t="s">
        <v>454</v>
      </c>
      <c r="E49" s="417"/>
      <c r="F49" s="418"/>
      <c r="G49" s="417"/>
      <c r="H49" s="417"/>
      <c r="K49" s="532"/>
      <c r="L49" s="533"/>
    </row>
    <row r="50" spans="1:12" s="414" customFormat="1" ht="16.2">
      <c r="A50" s="413" t="s">
        <v>338</v>
      </c>
      <c r="B50" s="488" t="s">
        <v>339</v>
      </c>
      <c r="C50" s="417"/>
      <c r="D50" s="417"/>
      <c r="E50" s="417"/>
      <c r="F50" s="418"/>
      <c r="G50" s="417"/>
      <c r="H50" s="417"/>
      <c r="K50" s="532"/>
      <c r="L50" s="533"/>
    </row>
    <row r="51" spans="1:12" s="414" customFormat="1" ht="16.2">
      <c r="A51" s="413" t="s">
        <v>255</v>
      </c>
      <c r="B51" s="488" t="s">
        <v>431</v>
      </c>
      <c r="C51" s="417"/>
      <c r="D51" s="417"/>
      <c r="E51" s="417"/>
      <c r="F51" s="418"/>
      <c r="G51" s="417"/>
      <c r="H51" s="417"/>
      <c r="K51" s="532"/>
      <c r="L51" s="533"/>
    </row>
    <row r="52" spans="1:12" s="414" customFormat="1" ht="16.2">
      <c r="A52" s="413"/>
      <c r="B52" s="488" t="s">
        <v>455</v>
      </c>
      <c r="C52" s="417"/>
      <c r="D52" s="417"/>
      <c r="E52" s="417"/>
      <c r="F52" s="418"/>
      <c r="G52" s="417"/>
      <c r="H52" s="417"/>
      <c r="K52" s="532"/>
      <c r="L52" s="533"/>
    </row>
    <row r="53" spans="1:12" ht="16.2">
      <c r="A53" s="479">
        <v>1</v>
      </c>
      <c r="B53" s="488" t="s">
        <v>537</v>
      </c>
      <c r="K53" s="521"/>
    </row>
    <row r="54" spans="1:12" ht="16.2">
      <c r="A54" s="413"/>
      <c r="B54" s="535"/>
      <c r="K54" s="521"/>
    </row>
    <row r="55" spans="1:12" ht="16.2">
      <c r="A55" s="413"/>
      <c r="B55" s="89" t="s">
        <v>550</v>
      </c>
      <c r="C55" s="417"/>
      <c r="D55" s="417"/>
      <c r="K55" s="521"/>
    </row>
    <row r="56" spans="1:12" ht="16.2">
      <c r="A56" s="413"/>
      <c r="B56" s="488"/>
      <c r="K56" s="521"/>
    </row>
    <row r="57" spans="1:12" ht="16.2">
      <c r="A57" s="413"/>
      <c r="K57" s="521"/>
    </row>
    <row r="58" spans="1:12">
      <c r="K58" s="521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AD10" sqref="AD10"/>
    </sheetView>
  </sheetViews>
  <sheetFormatPr defaultColWidth="9.109375" defaultRowHeight="15.6"/>
  <cols>
    <col min="1" max="1" width="32.44140625" style="161" bestFit="1" customWidth="1"/>
    <col min="2" max="2" width="25" style="161" hidden="1" customWidth="1"/>
    <col min="3" max="3" width="22.33203125" style="161" hidden="1" customWidth="1"/>
    <col min="4" max="4" width="22.44140625" style="161" hidden="1" customWidth="1"/>
    <col min="5" max="5" width="24.44140625" style="161" hidden="1" customWidth="1"/>
    <col min="6" max="6" width="22.33203125" style="161" hidden="1" customWidth="1"/>
    <col min="7" max="7" width="23.33203125" style="161" hidden="1" customWidth="1"/>
    <col min="8" max="8" width="20.109375" style="161" hidden="1" customWidth="1"/>
    <col min="9" max="9" width="18.5546875" style="161" hidden="1" customWidth="1"/>
    <col min="10" max="10" width="17.88671875" style="161" hidden="1" customWidth="1"/>
    <col min="11" max="11" width="19" style="161" hidden="1" customWidth="1"/>
    <col min="12" max="12" width="17.44140625" style="161" customWidth="1"/>
    <col min="13" max="13" width="20.5546875" style="161" customWidth="1"/>
    <col min="14" max="14" width="21.33203125" style="161" customWidth="1"/>
    <col min="15" max="15" width="19.5546875" style="161" customWidth="1"/>
    <col min="16" max="16" width="22.6640625" style="376" customWidth="1"/>
    <col min="17" max="17" width="15" style="161" customWidth="1"/>
    <col min="18" max="16384" width="9.109375" style="161"/>
  </cols>
  <sheetData>
    <row r="1" spans="1:16" s="313" customFormat="1" ht="16.2">
      <c r="A1" s="159" t="s">
        <v>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375"/>
    </row>
    <row r="2" spans="1:16">
      <c r="A2" s="160" t="s">
        <v>543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>
      <c r="A3" s="160" t="str">
        <f>'Schedule 1'!A3:L3</f>
        <v>Data Through August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6" spans="1:16" ht="31.2">
      <c r="A6" s="390" t="s">
        <v>257</v>
      </c>
      <c r="B6" s="377" t="s">
        <v>513</v>
      </c>
      <c r="C6" s="377" t="s">
        <v>514</v>
      </c>
      <c r="D6" s="377" t="s">
        <v>515</v>
      </c>
      <c r="E6" s="377" t="s">
        <v>516</v>
      </c>
      <c r="F6" s="377" t="s">
        <v>505</v>
      </c>
      <c r="G6" s="377" t="s">
        <v>506</v>
      </c>
      <c r="H6" s="377" t="s">
        <v>507</v>
      </c>
      <c r="I6" s="377" t="s">
        <v>508</v>
      </c>
      <c r="J6" s="377" t="s">
        <v>509</v>
      </c>
      <c r="K6" s="377" t="s">
        <v>510</v>
      </c>
      <c r="L6" s="377" t="s">
        <v>511</v>
      </c>
      <c r="M6" s="377" t="s">
        <v>512</v>
      </c>
      <c r="N6" s="377" t="s">
        <v>592</v>
      </c>
    </row>
    <row r="8" spans="1:16">
      <c r="A8" s="378" t="s">
        <v>258</v>
      </c>
      <c r="B8" s="421">
        <v>50641073.019999996</v>
      </c>
      <c r="C8" s="421">
        <v>52547618.140000053</v>
      </c>
      <c r="D8" s="421">
        <v>53138772.379999928</v>
      </c>
      <c r="E8" s="421">
        <v>53351407.050000012</v>
      </c>
      <c r="F8" s="421">
        <v>52883852.289999962</v>
      </c>
      <c r="G8" s="421">
        <v>52957874.67999997</v>
      </c>
      <c r="H8" s="421">
        <v>53230466.929999992</v>
      </c>
      <c r="I8" s="421">
        <v>53538113.01000002</v>
      </c>
      <c r="J8" s="421">
        <v>54191619.040000029</v>
      </c>
      <c r="K8" s="421">
        <v>54410794.770000041</v>
      </c>
      <c r="L8" s="421">
        <v>54060429.030000076</v>
      </c>
      <c r="M8" s="421">
        <v>53724638.069999985</v>
      </c>
      <c r="N8" s="422">
        <f>SUM(B8:M8)</f>
        <v>638676658.41000009</v>
      </c>
    </row>
    <row r="9" spans="1:16">
      <c r="A9" s="378" t="s">
        <v>259</v>
      </c>
      <c r="B9" s="421">
        <v>1164474.150000002</v>
      </c>
      <c r="C9" s="421">
        <v>1472152.0899999994</v>
      </c>
      <c r="D9" s="421">
        <v>1716718.3199999975</v>
      </c>
      <c r="E9" s="421">
        <v>1675760.7100000009</v>
      </c>
      <c r="F9" s="421">
        <v>1899338.0000000005</v>
      </c>
      <c r="G9" s="421">
        <v>1912608.0100000005</v>
      </c>
      <c r="H9" s="421">
        <v>1918973.7500000009</v>
      </c>
      <c r="I9" s="421">
        <v>2064475.1700000011</v>
      </c>
      <c r="J9" s="421">
        <v>3522096.1900000055</v>
      </c>
      <c r="K9" s="421">
        <v>2024639.6100000003</v>
      </c>
      <c r="L9" s="421">
        <v>2181636.7600000007</v>
      </c>
      <c r="M9" s="421">
        <v>2013516.2299999997</v>
      </c>
      <c r="N9" s="422">
        <f t="shared" ref="N9:N21" si="0">SUM(B9:M9)</f>
        <v>23566388.99000001</v>
      </c>
    </row>
    <row r="10" spans="1:16">
      <c r="A10" s="378" t="s">
        <v>260</v>
      </c>
      <c r="B10" s="421">
        <v>0</v>
      </c>
      <c r="C10" s="421">
        <v>1063869.8700000003</v>
      </c>
      <c r="D10" s="421">
        <v>1222982.3299999991</v>
      </c>
      <c r="E10" s="421">
        <v>2019728.629999998</v>
      </c>
      <c r="F10" s="421">
        <v>3287518.8599999985</v>
      </c>
      <c r="G10" s="421">
        <v>1841922.5999999992</v>
      </c>
      <c r="H10" s="421">
        <v>3865570.4300000016</v>
      </c>
      <c r="I10" s="421">
        <v>2814822.0599999977</v>
      </c>
      <c r="J10" s="421">
        <v>3101266.9099999992</v>
      </c>
      <c r="K10" s="421">
        <v>2974797.3499999992</v>
      </c>
      <c r="L10" s="421">
        <v>5029594.0999999996</v>
      </c>
      <c r="M10" s="421">
        <v>3219677.379999998</v>
      </c>
      <c r="N10" s="422">
        <f t="shared" si="0"/>
        <v>30441750.519999992</v>
      </c>
    </row>
    <row r="11" spans="1:16">
      <c r="A11" s="378" t="s">
        <v>261</v>
      </c>
      <c r="B11" s="421">
        <v>0</v>
      </c>
      <c r="C11" s="421">
        <v>0</v>
      </c>
      <c r="E11" s="421">
        <v>114.35999999999997</v>
      </c>
      <c r="F11" s="421">
        <v>0</v>
      </c>
      <c r="G11" s="421"/>
      <c r="H11" s="421">
        <v>0</v>
      </c>
      <c r="I11" s="421">
        <v>0</v>
      </c>
      <c r="J11" s="421">
        <v>436.90999999999991</v>
      </c>
      <c r="K11" s="421">
        <v>0</v>
      </c>
      <c r="L11" s="421">
        <v>-1.2437967322753707E-14</v>
      </c>
      <c r="M11" s="421">
        <v>0</v>
      </c>
      <c r="N11" s="422">
        <f t="shared" si="0"/>
        <v>551.26999999999987</v>
      </c>
    </row>
    <row r="12" spans="1:16">
      <c r="A12" s="378" t="s">
        <v>262</v>
      </c>
      <c r="B12" s="421">
        <v>0</v>
      </c>
      <c r="C12" s="421">
        <v>2509.1400000000003</v>
      </c>
      <c r="D12" s="421">
        <v>333901.06000000006</v>
      </c>
      <c r="E12" s="421">
        <v>30300.3</v>
      </c>
      <c r="F12" s="421">
        <v>20866.16</v>
      </c>
      <c r="G12" s="421">
        <v>17850.530000000013</v>
      </c>
      <c r="H12" s="421">
        <v>29430.159999999985</v>
      </c>
      <c r="I12" s="421">
        <v>26250.179999999993</v>
      </c>
      <c r="J12" s="421">
        <v>45576.57</v>
      </c>
      <c r="K12" s="421">
        <v>27424.68999999997</v>
      </c>
      <c r="L12" s="421">
        <v>37302.449999999975</v>
      </c>
      <c r="M12" s="421">
        <v>18717.020000000019</v>
      </c>
      <c r="N12" s="422">
        <f t="shared" si="0"/>
        <v>590128.26</v>
      </c>
    </row>
    <row r="13" spans="1:16">
      <c r="A13" s="378" t="s">
        <v>263</v>
      </c>
      <c r="B13" s="421">
        <v>0</v>
      </c>
      <c r="C13" s="421">
        <v>74520.999999999985</v>
      </c>
      <c r="D13" s="421">
        <v>636778.33000000054</v>
      </c>
      <c r="E13" s="421">
        <v>701188.58999999973</v>
      </c>
      <c r="F13" s="421">
        <v>40615.299999999967</v>
      </c>
      <c r="G13" s="421">
        <v>1523919.17</v>
      </c>
      <c r="H13" s="421">
        <v>323397.20000000007</v>
      </c>
      <c r="I13" s="421">
        <v>863665.94999999949</v>
      </c>
      <c r="J13" s="421">
        <v>1560632.5400000017</v>
      </c>
      <c r="K13" s="421">
        <v>123923.75999999988</v>
      </c>
      <c r="L13" s="421">
        <v>2401009.739999996</v>
      </c>
      <c r="M13" s="421">
        <v>434965.4</v>
      </c>
      <c r="N13" s="422">
        <f t="shared" si="0"/>
        <v>8684616.9799999986</v>
      </c>
    </row>
    <row r="14" spans="1:16">
      <c r="A14" s="378" t="s">
        <v>264</v>
      </c>
      <c r="B14" s="421">
        <v>210596.80000000005</v>
      </c>
      <c r="C14" s="421">
        <v>4305162.9699999895</v>
      </c>
      <c r="D14" s="421">
        <v>4773312.459999999</v>
      </c>
      <c r="E14" s="421">
        <v>3838584.8900000006</v>
      </c>
      <c r="F14" s="421">
        <v>5394875.849999994</v>
      </c>
      <c r="G14" s="421">
        <v>4906904.6999999993</v>
      </c>
      <c r="H14" s="421">
        <v>5401027.4799999949</v>
      </c>
      <c r="I14" s="421">
        <v>4882463.12</v>
      </c>
      <c r="J14" s="421">
        <v>5943439.349999995</v>
      </c>
      <c r="K14" s="421">
        <v>5124141.4000000013</v>
      </c>
      <c r="L14" s="421">
        <v>5855888.5999999978</v>
      </c>
      <c r="M14" s="421">
        <v>5321237.6799999839</v>
      </c>
      <c r="N14" s="422">
        <f t="shared" si="0"/>
        <v>55957635.299999945</v>
      </c>
    </row>
    <row r="15" spans="1:16">
      <c r="A15" s="378" t="s">
        <v>265</v>
      </c>
      <c r="B15" s="421">
        <v>0</v>
      </c>
      <c r="C15" s="421">
        <v>573.9</v>
      </c>
      <c r="D15" s="421">
        <v>8560.86</v>
      </c>
      <c r="E15" s="421">
        <v>10094.999999999998</v>
      </c>
      <c r="F15" s="421">
        <v>5297.6299999999965</v>
      </c>
      <c r="G15" s="421">
        <v>43340.979999999996</v>
      </c>
      <c r="H15" s="421">
        <v>30393.400000000016</v>
      </c>
      <c r="I15" s="421">
        <v>16419.459999999977</v>
      </c>
      <c r="J15" s="421">
        <v>56283.969999999936</v>
      </c>
      <c r="K15" s="421">
        <v>7735.2500000000027</v>
      </c>
      <c r="L15" s="421">
        <v>29290.529999999944</v>
      </c>
      <c r="M15" s="421">
        <v>17054.290000000008</v>
      </c>
      <c r="N15" s="422">
        <f t="shared" si="0"/>
        <v>225045.26999999987</v>
      </c>
    </row>
    <row r="16" spans="1:16">
      <c r="A16" s="378" t="s">
        <v>443</v>
      </c>
      <c r="B16" s="421">
        <v>0</v>
      </c>
      <c r="C16" s="421">
        <v>686504.74999999988</v>
      </c>
      <c r="D16" s="421">
        <v>1150461.53</v>
      </c>
      <c r="E16" s="421">
        <v>34466.76</v>
      </c>
      <c r="F16" s="421">
        <v>789671.6</v>
      </c>
      <c r="G16" s="421">
        <v>39257.01999999999</v>
      </c>
      <c r="H16" s="421">
        <v>515651.66000000021</v>
      </c>
      <c r="I16" s="421">
        <v>1778976.88</v>
      </c>
      <c r="J16" s="421">
        <v>15683.200000000015</v>
      </c>
      <c r="K16" s="421">
        <v>1209511.3700000001</v>
      </c>
      <c r="L16" s="421">
        <v>624489.97999999835</v>
      </c>
      <c r="M16" s="421">
        <v>42547.960000000021</v>
      </c>
      <c r="N16" s="422">
        <f t="shared" si="0"/>
        <v>6887222.7099999981</v>
      </c>
    </row>
    <row r="17" spans="1:15">
      <c r="A17" s="378" t="s">
        <v>266</v>
      </c>
      <c r="B17" s="421">
        <v>3564832.5100000007</v>
      </c>
      <c r="C17" s="421">
        <v>2346979.3799999957</v>
      </c>
      <c r="D17" s="421">
        <v>3969885.6199999987</v>
      </c>
      <c r="E17" s="421">
        <v>3000705.8599999971</v>
      </c>
      <c r="F17" s="421">
        <v>4913008.96</v>
      </c>
      <c r="G17" s="421">
        <v>4925272.8700000048</v>
      </c>
      <c r="H17" s="421">
        <v>3790946.5999999996</v>
      </c>
      <c r="I17" s="421">
        <v>5541176.5900000231</v>
      </c>
      <c r="J17" s="421">
        <v>71477800.129999787</v>
      </c>
      <c r="K17" s="421">
        <v>6762737.9099999918</v>
      </c>
      <c r="L17" s="421">
        <v>24971117.029999968</v>
      </c>
      <c r="M17" s="421">
        <v>25251845.339999963</v>
      </c>
      <c r="N17" s="422">
        <f t="shared" si="0"/>
        <v>160516308.79999974</v>
      </c>
    </row>
    <row r="18" spans="1:15">
      <c r="A18" s="378" t="s">
        <v>267</v>
      </c>
      <c r="B18" s="421">
        <v>32935243.180000007</v>
      </c>
      <c r="C18" s="421">
        <v>69856503.660000026</v>
      </c>
      <c r="D18" s="421">
        <v>90320045.479999945</v>
      </c>
      <c r="E18" s="421">
        <v>81702251.040000021</v>
      </c>
      <c r="F18" s="421">
        <v>96325047.609999925</v>
      </c>
      <c r="G18" s="421">
        <v>82887666.490000129</v>
      </c>
      <c r="H18" s="421">
        <v>91272662.150000006</v>
      </c>
      <c r="I18" s="421">
        <v>89803619.459999993</v>
      </c>
      <c r="J18" s="421">
        <v>89128815.839999929</v>
      </c>
      <c r="K18" s="421">
        <v>86040353.340000138</v>
      </c>
      <c r="L18" s="421">
        <v>95134666.200000033</v>
      </c>
      <c r="M18" s="421">
        <v>81121986.26000011</v>
      </c>
      <c r="N18" s="422">
        <f t="shared" si="0"/>
        <v>986528860.71000028</v>
      </c>
    </row>
    <row r="19" spans="1:15">
      <c r="A19" s="378" t="s">
        <v>268</v>
      </c>
      <c r="B19" s="421">
        <v>320.07000000000016</v>
      </c>
      <c r="C19" s="421">
        <v>11627.560000000007</v>
      </c>
      <c r="D19" s="421">
        <v>12871.76</v>
      </c>
      <c r="E19" s="421">
        <v>10743.030000000002</v>
      </c>
      <c r="F19" s="421">
        <v>18761.159999999993</v>
      </c>
      <c r="G19" s="421">
        <v>16141.630000000001</v>
      </c>
      <c r="H19" s="421">
        <v>18377.090000000004</v>
      </c>
      <c r="I19" s="421">
        <v>17834.85999999999</v>
      </c>
      <c r="J19" s="421">
        <v>19254.930000000004</v>
      </c>
      <c r="K19" s="481">
        <v>19184.169999999998</v>
      </c>
      <c r="L19" s="421">
        <v>24054.859999999986</v>
      </c>
      <c r="M19" s="421">
        <v>28480.019999999975</v>
      </c>
      <c r="N19" s="422">
        <f t="shared" si="0"/>
        <v>197651.13999999996</v>
      </c>
    </row>
    <row r="20" spans="1:15">
      <c r="A20" s="378" t="s">
        <v>269</v>
      </c>
      <c r="B20" s="421">
        <v>0</v>
      </c>
      <c r="C20" s="421">
        <v>0</v>
      </c>
      <c r="D20" s="421">
        <v>2147105.4099999997</v>
      </c>
      <c r="E20" s="421">
        <v>2790656.88</v>
      </c>
      <c r="F20" s="421">
        <v>3218494.6</v>
      </c>
      <c r="G20" s="421">
        <v>3653355.9000000004</v>
      </c>
      <c r="H20" s="421">
        <v>2562967.4500000002</v>
      </c>
      <c r="I20" s="421">
        <v>1971246.96</v>
      </c>
      <c r="J20" s="421">
        <v>2716385.8000000003</v>
      </c>
      <c r="K20" s="481">
        <v>2617582.25</v>
      </c>
      <c r="L20" s="421">
        <v>3749866.8300000005</v>
      </c>
      <c r="M20" s="421">
        <v>1369852.42</v>
      </c>
      <c r="N20" s="422">
        <f t="shared" si="0"/>
        <v>26797514.5</v>
      </c>
    </row>
    <row r="21" spans="1:15">
      <c r="A21" s="378" t="s">
        <v>270</v>
      </c>
      <c r="B21" s="421">
        <v>0</v>
      </c>
      <c r="C21" s="421">
        <v>0</v>
      </c>
      <c r="D21" s="421"/>
      <c r="E21" s="421"/>
      <c r="F21" s="421"/>
      <c r="G21" s="421"/>
      <c r="H21" s="421"/>
      <c r="I21" s="481">
        <v>18207.419999999998</v>
      </c>
      <c r="J21" s="421"/>
      <c r="K21" s="421"/>
      <c r="L21" s="421"/>
      <c r="M21" s="421"/>
      <c r="N21" s="422">
        <f t="shared" si="0"/>
        <v>18207.419999999998</v>
      </c>
    </row>
    <row r="22" spans="1:1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420"/>
    </row>
    <row r="23" spans="1:15" ht="16.2" thickBot="1">
      <c r="A23" s="379" t="s">
        <v>98</v>
      </c>
      <c r="B23" s="419">
        <f t="shared" ref="B23:N23" si="1">SUM(B8:B22)</f>
        <v>88516539.729999989</v>
      </c>
      <c r="C23" s="419">
        <f t="shared" si="1"/>
        <v>132368022.46000007</v>
      </c>
      <c r="D23" s="419">
        <f t="shared" si="1"/>
        <v>159431395.53999987</v>
      </c>
      <c r="E23" s="419">
        <f t="shared" si="1"/>
        <v>149166003.10000002</v>
      </c>
      <c r="F23" s="419">
        <f t="shared" si="1"/>
        <v>168797348.01999986</v>
      </c>
      <c r="G23" s="419">
        <f t="shared" si="1"/>
        <v>154726114.5800001</v>
      </c>
      <c r="H23" s="419">
        <f t="shared" si="1"/>
        <v>162959864.29999998</v>
      </c>
      <c r="I23" s="419">
        <f t="shared" si="1"/>
        <v>163337271.12000006</v>
      </c>
      <c r="J23" s="419">
        <f t="shared" si="1"/>
        <v>231779291.37999976</v>
      </c>
      <c r="K23" s="419">
        <f t="shared" si="1"/>
        <v>161342825.87000015</v>
      </c>
      <c r="L23" s="419">
        <f t="shared" si="1"/>
        <v>194099346.1100001</v>
      </c>
      <c r="M23" s="419">
        <f t="shared" si="1"/>
        <v>172564518.07000005</v>
      </c>
      <c r="N23" s="380">
        <f t="shared" si="1"/>
        <v>1939088540.2800002</v>
      </c>
      <c r="O23" s="472"/>
    </row>
    <row r="24" spans="1:15" ht="16.2" thickTop="1"/>
    <row r="26" spans="1:15">
      <c r="N26" s="471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93"/>
  <sheetViews>
    <sheetView zoomScale="80" zoomScaleNormal="80" workbookViewId="0">
      <pane ySplit="6" topLeftCell="A7" activePane="bottomLeft" state="frozen"/>
      <selection activeCell="G53" sqref="G53"/>
      <selection pane="bottomLeft" activeCell="D47" sqref="D47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1" width="13.6640625" style="1" bestFit="1" customWidth="1"/>
    <col min="12" max="16384" width="9.109375" style="1"/>
  </cols>
  <sheetData>
    <row r="1" spans="1:12" s="4" customFormat="1" ht="16.2">
      <c r="A1" s="159" t="s">
        <v>3</v>
      </c>
      <c r="B1" s="159"/>
      <c r="C1" s="159"/>
      <c r="D1" s="159"/>
      <c r="E1" s="159"/>
      <c r="F1" s="159"/>
      <c r="G1" s="159"/>
      <c r="H1" s="159"/>
      <c r="I1" s="159"/>
    </row>
    <row r="2" spans="1:12">
      <c r="A2" s="160" t="s">
        <v>544</v>
      </c>
      <c r="B2" s="160"/>
      <c r="C2" s="160"/>
      <c r="D2" s="160"/>
      <c r="E2" s="160"/>
      <c r="F2" s="160"/>
      <c r="G2" s="160"/>
      <c r="H2" s="160"/>
      <c r="I2" s="160"/>
    </row>
    <row r="3" spans="1:12">
      <c r="A3" s="160" t="str">
        <f>'Schedule 1'!A3:L3</f>
        <v>Data Through August 31, 2019</v>
      </c>
      <c r="B3" s="160"/>
      <c r="C3" s="160"/>
      <c r="D3" s="160"/>
      <c r="E3" s="160"/>
      <c r="F3" s="160"/>
      <c r="G3" s="160"/>
      <c r="H3" s="160"/>
      <c r="I3" s="160"/>
    </row>
    <row r="4" spans="1:12">
      <c r="A4" s="161"/>
      <c r="B4" s="162"/>
      <c r="C4" s="163"/>
      <c r="D4" s="164"/>
      <c r="E4" s="164"/>
      <c r="F4" s="164"/>
      <c r="G4" s="164"/>
      <c r="H4" s="164"/>
      <c r="I4" s="164"/>
    </row>
    <row r="5" spans="1:12" s="15" customFormat="1">
      <c r="A5" s="165"/>
      <c r="B5" s="166" t="s">
        <v>200</v>
      </c>
      <c r="C5" s="391"/>
      <c r="D5" s="167" t="s">
        <v>155</v>
      </c>
      <c r="E5" s="167" t="s">
        <v>156</v>
      </c>
      <c r="F5" s="168" t="s">
        <v>218</v>
      </c>
      <c r="G5" s="168" t="s">
        <v>50</v>
      </c>
      <c r="H5" s="391"/>
      <c r="I5" s="168"/>
      <c r="J5" s="161"/>
    </row>
    <row r="6" spans="1:12" s="15" customFormat="1">
      <c r="A6" s="169" t="s">
        <v>48</v>
      </c>
      <c r="B6" s="170" t="s">
        <v>51</v>
      </c>
      <c r="C6" s="392" t="s">
        <v>29</v>
      </c>
      <c r="D6" s="172" t="s">
        <v>30</v>
      </c>
      <c r="E6" s="172" t="s">
        <v>30</v>
      </c>
      <c r="F6" s="171" t="s">
        <v>157</v>
      </c>
      <c r="G6" s="173" t="s">
        <v>36</v>
      </c>
      <c r="H6" s="173" t="s">
        <v>32</v>
      </c>
      <c r="I6" s="173" t="s">
        <v>33</v>
      </c>
      <c r="J6" s="161"/>
    </row>
    <row r="7" spans="1:12" s="15" customFormat="1">
      <c r="A7" s="174"/>
      <c r="B7" s="175"/>
      <c r="C7" s="175"/>
      <c r="D7" s="175"/>
      <c r="E7" s="175"/>
      <c r="F7" s="175"/>
      <c r="G7" s="176"/>
      <c r="H7" s="176"/>
      <c r="I7" s="176"/>
      <c r="J7" s="161"/>
    </row>
    <row r="8" spans="1:12" s="15" customFormat="1">
      <c r="A8" s="177" t="s">
        <v>52</v>
      </c>
      <c r="B8" s="178" t="s">
        <v>53</v>
      </c>
      <c r="C8" s="179">
        <v>945568963</v>
      </c>
      <c r="D8" s="179">
        <f>E8+F8</f>
        <v>91173115</v>
      </c>
      <c r="E8" s="179">
        <v>91172848</v>
      </c>
      <c r="F8" s="179">
        <v>267</v>
      </c>
      <c r="G8" s="179">
        <v>1036742078</v>
      </c>
      <c r="H8" s="179">
        <v>1002641484</v>
      </c>
      <c r="I8" s="179">
        <f>G8-H8</f>
        <v>34100594</v>
      </c>
      <c r="J8" s="180">
        <f t="shared" ref="J8:J41" si="0">G8-C8-D8</f>
        <v>0</v>
      </c>
      <c r="L8" s="486"/>
    </row>
    <row r="9" spans="1:12" s="15" customFormat="1">
      <c r="A9" s="177" t="s">
        <v>54</v>
      </c>
      <c r="B9" s="178" t="s">
        <v>55</v>
      </c>
      <c r="C9" s="179">
        <v>10967140</v>
      </c>
      <c r="D9" s="179">
        <f>E9+F9</f>
        <v>-343066</v>
      </c>
      <c r="E9" s="179">
        <v>-342799</v>
      </c>
      <c r="F9" s="179">
        <v>-267</v>
      </c>
      <c r="G9" s="179">
        <v>10624074</v>
      </c>
      <c r="H9" s="179">
        <v>10486209</v>
      </c>
      <c r="I9" s="179">
        <f>G9-H9</f>
        <v>137865</v>
      </c>
      <c r="J9" s="180">
        <f t="shared" si="0"/>
        <v>0</v>
      </c>
      <c r="L9" s="486"/>
    </row>
    <row r="10" spans="1:12" s="15" customFormat="1">
      <c r="A10" s="177" t="s">
        <v>56</v>
      </c>
      <c r="B10" s="178" t="s">
        <v>57</v>
      </c>
      <c r="C10" s="179">
        <v>8124749</v>
      </c>
      <c r="D10" s="179">
        <f>E10+F10</f>
        <v>-8124749</v>
      </c>
      <c r="E10" s="179">
        <v>-8124749</v>
      </c>
      <c r="F10" s="179">
        <v>0</v>
      </c>
      <c r="G10" s="179">
        <v>0</v>
      </c>
      <c r="H10" s="179">
        <v>0</v>
      </c>
      <c r="I10" s="179">
        <f>G10-H10</f>
        <v>0</v>
      </c>
      <c r="J10" s="180">
        <f t="shared" si="0"/>
        <v>0</v>
      </c>
      <c r="L10" s="486"/>
    </row>
    <row r="11" spans="1:12" s="15" customFormat="1">
      <c r="A11" s="177" t="s">
        <v>123</v>
      </c>
      <c r="B11" s="181" t="s">
        <v>131</v>
      </c>
      <c r="C11" s="179">
        <v>174115471</v>
      </c>
      <c r="D11" s="179">
        <f>E11+F11</f>
        <v>0</v>
      </c>
      <c r="E11" s="179">
        <v>0</v>
      </c>
      <c r="F11" s="179">
        <v>0</v>
      </c>
      <c r="G11" s="179">
        <v>174115471</v>
      </c>
      <c r="H11" s="179">
        <v>183169156</v>
      </c>
      <c r="I11" s="179">
        <f>G11-H11</f>
        <v>-9053685</v>
      </c>
      <c r="J11" s="180">
        <f t="shared" si="0"/>
        <v>0</v>
      </c>
      <c r="L11" s="486"/>
    </row>
    <row r="12" spans="1:12" s="15" customFormat="1" ht="11.25" customHeight="1">
      <c r="A12" s="177"/>
      <c r="B12" s="181"/>
      <c r="C12" s="179"/>
      <c r="D12" s="179"/>
      <c r="E12" s="179"/>
      <c r="F12" s="179"/>
      <c r="G12" s="179"/>
      <c r="H12" s="179"/>
      <c r="I12" s="179"/>
      <c r="J12" s="180">
        <f t="shared" si="0"/>
        <v>0</v>
      </c>
      <c r="L12" s="486"/>
    </row>
    <row r="13" spans="1:12" s="15" customFormat="1" ht="16.2">
      <c r="A13" s="182" t="s">
        <v>58</v>
      </c>
      <c r="B13" s="183"/>
      <c r="C13" s="184">
        <f t="shared" ref="C13:H13" si="1">SUM(C8:C11)</f>
        <v>1138776323</v>
      </c>
      <c r="D13" s="184">
        <f>SUM(D8:D12)</f>
        <v>82705300</v>
      </c>
      <c r="E13" s="184">
        <v>82705300</v>
      </c>
      <c r="F13" s="184">
        <f>SUM(F8:F11)</f>
        <v>0</v>
      </c>
      <c r="G13" s="184">
        <f t="shared" si="1"/>
        <v>1221481623</v>
      </c>
      <c r="H13" s="184">
        <f t="shared" si="1"/>
        <v>1196296849</v>
      </c>
      <c r="I13" s="184">
        <f>SUM(I8:I11)</f>
        <v>25184774</v>
      </c>
      <c r="J13" s="180">
        <f t="shared" si="0"/>
        <v>0</v>
      </c>
      <c r="L13" s="486"/>
    </row>
    <row r="14" spans="1:12" s="15" customFormat="1" ht="12" customHeight="1">
      <c r="A14" s="185"/>
      <c r="B14" s="186"/>
      <c r="C14" s="187"/>
      <c r="D14" s="187"/>
      <c r="E14" s="187"/>
      <c r="F14" s="187"/>
      <c r="G14" s="187"/>
      <c r="H14" s="187"/>
      <c r="I14" s="187"/>
      <c r="J14" s="180">
        <f t="shared" si="0"/>
        <v>0</v>
      </c>
      <c r="L14" s="486"/>
    </row>
    <row r="15" spans="1:12" s="15" customFormat="1">
      <c r="A15" s="188" t="s">
        <v>59</v>
      </c>
      <c r="B15" s="189" t="s">
        <v>60</v>
      </c>
      <c r="C15" s="179">
        <v>5685701</v>
      </c>
      <c r="D15" s="179">
        <f>E15+F15</f>
        <v>0</v>
      </c>
      <c r="E15" s="179">
        <v>0</v>
      </c>
      <c r="F15" s="179">
        <v>0</v>
      </c>
      <c r="G15" s="179">
        <v>5685701</v>
      </c>
      <c r="H15" s="179">
        <v>5685701</v>
      </c>
      <c r="I15" s="179">
        <f>G15-H15</f>
        <v>0</v>
      </c>
      <c r="J15" s="180">
        <f t="shared" si="0"/>
        <v>0</v>
      </c>
      <c r="L15" s="486"/>
    </row>
    <row r="16" spans="1:12" s="15" customFormat="1" ht="12.75" customHeight="1">
      <c r="A16" s="188"/>
      <c r="B16" s="189"/>
      <c r="C16" s="179"/>
      <c r="D16" s="179"/>
      <c r="E16" s="179"/>
      <c r="F16" s="179"/>
      <c r="G16" s="179"/>
      <c r="H16" s="179"/>
      <c r="I16" s="179"/>
      <c r="J16" s="180">
        <f t="shared" si="0"/>
        <v>0</v>
      </c>
      <c r="L16" s="486"/>
    </row>
    <row r="17" spans="1:12" s="15" customFormat="1" ht="16.2">
      <c r="A17" s="182" t="s">
        <v>61</v>
      </c>
      <c r="B17" s="183"/>
      <c r="C17" s="184">
        <f t="shared" ref="C17:I17" si="2">SUM(C15:C15)</f>
        <v>5685701</v>
      </c>
      <c r="D17" s="184">
        <f>SUM(D15:D16)</f>
        <v>0</v>
      </c>
      <c r="E17" s="184">
        <v>0</v>
      </c>
      <c r="F17" s="184">
        <f t="shared" si="2"/>
        <v>0</v>
      </c>
      <c r="G17" s="184">
        <f>SUM(G15:G15)</f>
        <v>5685701</v>
      </c>
      <c r="H17" s="184">
        <f t="shared" si="2"/>
        <v>5685701</v>
      </c>
      <c r="I17" s="184">
        <f t="shared" si="2"/>
        <v>0</v>
      </c>
      <c r="J17" s="180">
        <f t="shared" si="0"/>
        <v>0</v>
      </c>
      <c r="L17" s="486"/>
    </row>
    <row r="18" spans="1:12" s="18" customFormat="1" ht="16.2">
      <c r="A18" s="185"/>
      <c r="B18" s="186"/>
      <c r="C18" s="187"/>
      <c r="D18" s="187"/>
      <c r="E18" s="179"/>
      <c r="F18" s="187"/>
      <c r="G18" s="187"/>
      <c r="H18" s="187"/>
      <c r="I18" s="187"/>
      <c r="J18" s="180">
        <f t="shared" si="0"/>
        <v>0</v>
      </c>
      <c r="K18" s="15"/>
      <c r="L18" s="486"/>
    </row>
    <row r="19" spans="1:12" s="15" customFormat="1" ht="16.2">
      <c r="A19" s="182" t="s">
        <v>37</v>
      </c>
      <c r="B19" s="190"/>
      <c r="C19" s="184">
        <f t="shared" ref="C19:I19" si="3">SUM(C17,C13)</f>
        <v>1144462024</v>
      </c>
      <c r="D19" s="184">
        <f t="shared" si="3"/>
        <v>82705300</v>
      </c>
      <c r="E19" s="184">
        <v>82705300</v>
      </c>
      <c r="F19" s="184">
        <f t="shared" si="3"/>
        <v>0</v>
      </c>
      <c r="G19" s="184">
        <f t="shared" si="3"/>
        <v>1227167324</v>
      </c>
      <c r="H19" s="184">
        <f t="shared" si="3"/>
        <v>1201982550</v>
      </c>
      <c r="I19" s="184">
        <f t="shared" si="3"/>
        <v>25184774</v>
      </c>
      <c r="J19" s="180">
        <f t="shared" si="0"/>
        <v>0</v>
      </c>
      <c r="L19" s="486"/>
    </row>
    <row r="20" spans="1:12" s="15" customFormat="1" ht="16.2">
      <c r="A20" s="185"/>
      <c r="B20" s="191"/>
      <c r="C20" s="187"/>
      <c r="D20" s="187"/>
      <c r="E20" s="187"/>
      <c r="F20" s="187"/>
      <c r="G20" s="187"/>
      <c r="H20" s="187"/>
      <c r="I20" s="187"/>
      <c r="J20" s="180">
        <f t="shared" si="0"/>
        <v>0</v>
      </c>
      <c r="L20" s="486"/>
    </row>
    <row r="21" spans="1:12" s="15" customFormat="1">
      <c r="A21" s="195" t="s">
        <v>528</v>
      </c>
      <c r="B21" s="193" t="s">
        <v>527</v>
      </c>
      <c r="C21" s="179"/>
      <c r="D21" s="179">
        <f t="shared" ref="D21:D51" si="4">E21+F21</f>
        <v>143709</v>
      </c>
      <c r="E21" s="179">
        <v>143709</v>
      </c>
      <c r="F21" s="179">
        <v>0</v>
      </c>
      <c r="G21" s="179">
        <v>143709</v>
      </c>
      <c r="H21" s="179">
        <v>36892</v>
      </c>
      <c r="I21" s="179">
        <f t="shared" ref="I21:I50" si="5">G21-H21</f>
        <v>106817</v>
      </c>
      <c r="J21" s="180"/>
      <c r="L21" s="486"/>
    </row>
    <row r="22" spans="1:12" s="15" customFormat="1">
      <c r="A22" s="192" t="s">
        <v>62</v>
      </c>
      <c r="B22" s="193" t="s">
        <v>125</v>
      </c>
      <c r="C22" s="179">
        <v>29771517</v>
      </c>
      <c r="D22" s="179">
        <f t="shared" si="4"/>
        <v>2522</v>
      </c>
      <c r="E22" s="179">
        <v>2522</v>
      </c>
      <c r="F22" s="179">
        <v>0</v>
      </c>
      <c r="G22" s="179">
        <v>29774039</v>
      </c>
      <c r="H22" s="179">
        <v>29774039</v>
      </c>
      <c r="I22" s="179">
        <f t="shared" si="5"/>
        <v>0</v>
      </c>
      <c r="J22" s="180">
        <f t="shared" si="0"/>
        <v>0</v>
      </c>
      <c r="L22" s="486"/>
    </row>
    <row r="23" spans="1:12" s="15" customFormat="1">
      <c r="A23" s="192" t="s">
        <v>126</v>
      </c>
      <c r="B23" s="194" t="s">
        <v>124</v>
      </c>
      <c r="C23" s="179">
        <v>1494209</v>
      </c>
      <c r="D23" s="179">
        <f t="shared" si="4"/>
        <v>57192</v>
      </c>
      <c r="E23" s="179">
        <v>57192</v>
      </c>
      <c r="F23" s="179">
        <v>0</v>
      </c>
      <c r="G23" s="179">
        <v>1551401</v>
      </c>
      <c r="H23" s="179">
        <v>1551401</v>
      </c>
      <c r="I23" s="179">
        <f t="shared" si="5"/>
        <v>0</v>
      </c>
      <c r="J23" s="180">
        <f t="shared" si="0"/>
        <v>0</v>
      </c>
      <c r="L23" s="486"/>
    </row>
    <row r="24" spans="1:12" s="15" customFormat="1">
      <c r="A24" s="192" t="s">
        <v>556</v>
      </c>
      <c r="B24" s="194" t="s">
        <v>555</v>
      </c>
      <c r="C24" s="179"/>
      <c r="D24" s="179">
        <f t="shared" si="4"/>
        <v>1018778</v>
      </c>
      <c r="E24" s="179">
        <v>1018778</v>
      </c>
      <c r="F24" s="179">
        <v>0</v>
      </c>
      <c r="G24" s="179">
        <v>1018778</v>
      </c>
      <c r="H24" s="179">
        <v>673192</v>
      </c>
      <c r="I24" s="179">
        <f t="shared" si="5"/>
        <v>345586</v>
      </c>
      <c r="J24" s="180"/>
      <c r="L24" s="486"/>
    </row>
    <row r="25" spans="1:12" s="15" customFormat="1">
      <c r="A25" s="195" t="s">
        <v>63</v>
      </c>
      <c r="B25" s="196" t="s">
        <v>64</v>
      </c>
      <c r="C25" s="179">
        <v>359018131</v>
      </c>
      <c r="D25" s="179">
        <f t="shared" si="4"/>
        <v>-8671056</v>
      </c>
      <c r="E25" s="179">
        <v>-8671056</v>
      </c>
      <c r="F25" s="179">
        <v>0</v>
      </c>
      <c r="G25" s="179">
        <v>350347075</v>
      </c>
      <c r="H25" s="179">
        <v>350108870</v>
      </c>
      <c r="I25" s="179">
        <f>G25-H25</f>
        <v>238205</v>
      </c>
      <c r="J25" s="180">
        <f t="shared" si="0"/>
        <v>0</v>
      </c>
      <c r="L25" s="486"/>
    </row>
    <row r="26" spans="1:12" s="15" customFormat="1">
      <c r="A26" s="195" t="s">
        <v>65</v>
      </c>
      <c r="B26" s="196" t="s">
        <v>66</v>
      </c>
      <c r="C26" s="179">
        <v>0</v>
      </c>
      <c r="D26" s="179">
        <f t="shared" si="4"/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f t="shared" si="5"/>
        <v>0</v>
      </c>
      <c r="J26" s="180">
        <f t="shared" si="0"/>
        <v>0</v>
      </c>
      <c r="L26" s="486"/>
    </row>
    <row r="27" spans="1:12" s="15" customFormat="1">
      <c r="A27" s="195" t="s">
        <v>67</v>
      </c>
      <c r="B27" s="196" t="s">
        <v>68</v>
      </c>
      <c r="C27" s="179">
        <v>21808321</v>
      </c>
      <c r="D27" s="179">
        <f t="shared" si="4"/>
        <v>7723541</v>
      </c>
      <c r="E27" s="179">
        <v>7723541</v>
      </c>
      <c r="F27" s="179">
        <v>0</v>
      </c>
      <c r="G27" s="179">
        <v>29531862</v>
      </c>
      <c r="H27" s="179">
        <v>29531862</v>
      </c>
      <c r="I27" s="179">
        <f t="shared" si="5"/>
        <v>0</v>
      </c>
      <c r="J27" s="180">
        <f t="shared" si="0"/>
        <v>0</v>
      </c>
      <c r="L27" s="486"/>
    </row>
    <row r="28" spans="1:12" s="15" customFormat="1">
      <c r="A28" s="197" t="s">
        <v>69</v>
      </c>
      <c r="B28" s="196" t="s">
        <v>70</v>
      </c>
      <c r="C28" s="179">
        <v>3773819</v>
      </c>
      <c r="D28" s="179">
        <f t="shared" si="4"/>
        <v>224344</v>
      </c>
      <c r="E28" s="179">
        <v>224344</v>
      </c>
      <c r="F28" s="179">
        <v>0</v>
      </c>
      <c r="G28" s="179">
        <v>3998163</v>
      </c>
      <c r="H28" s="179">
        <v>3998163</v>
      </c>
      <c r="I28" s="179">
        <f t="shared" si="5"/>
        <v>0</v>
      </c>
      <c r="J28" s="180">
        <f t="shared" si="0"/>
        <v>0</v>
      </c>
      <c r="L28" s="486"/>
    </row>
    <row r="29" spans="1:12" s="15" customFormat="1">
      <c r="A29" s="197" t="s">
        <v>71</v>
      </c>
      <c r="B29" s="196" t="s">
        <v>72</v>
      </c>
      <c r="C29" s="179">
        <v>3092735</v>
      </c>
      <c r="D29" s="179">
        <f t="shared" si="4"/>
        <v>686575</v>
      </c>
      <c r="E29" s="179">
        <v>2980005</v>
      </c>
      <c r="F29" s="179">
        <v>-2293430</v>
      </c>
      <c r="G29" s="179">
        <v>3779310</v>
      </c>
      <c r="H29" s="179">
        <v>3321813</v>
      </c>
      <c r="I29" s="179">
        <f t="shared" si="5"/>
        <v>457497</v>
      </c>
      <c r="J29" s="180">
        <f t="shared" si="0"/>
        <v>0</v>
      </c>
      <c r="L29" s="486"/>
    </row>
    <row r="30" spans="1:12" s="15" customFormat="1">
      <c r="A30" s="197" t="s">
        <v>73</v>
      </c>
      <c r="B30" s="198" t="s">
        <v>74</v>
      </c>
      <c r="C30" s="179">
        <v>10152665</v>
      </c>
      <c r="D30" s="179">
        <f t="shared" si="4"/>
        <v>-5454165</v>
      </c>
      <c r="E30" s="179">
        <v>-5454165</v>
      </c>
      <c r="F30" s="179">
        <v>0</v>
      </c>
      <c r="G30" s="179">
        <v>4698500</v>
      </c>
      <c r="H30" s="179">
        <v>4698500</v>
      </c>
      <c r="I30" s="179">
        <f t="shared" si="5"/>
        <v>0</v>
      </c>
      <c r="J30" s="180">
        <f t="shared" si="0"/>
        <v>0</v>
      </c>
      <c r="L30" s="486"/>
    </row>
    <row r="31" spans="1:12" s="15" customFormat="1">
      <c r="A31" s="197" t="s">
        <v>129</v>
      </c>
      <c r="B31" s="198" t="s">
        <v>136</v>
      </c>
      <c r="C31" s="179">
        <v>0</v>
      </c>
      <c r="D31" s="179">
        <f t="shared" si="4"/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f t="shared" si="5"/>
        <v>0</v>
      </c>
      <c r="J31" s="180">
        <f t="shared" si="0"/>
        <v>0</v>
      </c>
      <c r="L31" s="486"/>
    </row>
    <row r="32" spans="1:12" s="15" customFormat="1">
      <c r="A32" s="197" t="s">
        <v>75</v>
      </c>
      <c r="B32" s="198" t="s">
        <v>76</v>
      </c>
      <c r="C32" s="179">
        <v>24037616</v>
      </c>
      <c r="D32" s="179">
        <f t="shared" si="4"/>
        <v>181845</v>
      </c>
      <c r="E32" s="179">
        <v>181845</v>
      </c>
      <c r="F32" s="179">
        <v>0</v>
      </c>
      <c r="G32" s="179">
        <v>24219461</v>
      </c>
      <c r="H32" s="179">
        <v>24219461</v>
      </c>
      <c r="I32" s="179">
        <f t="shared" si="5"/>
        <v>0</v>
      </c>
      <c r="J32" s="180">
        <f t="shared" si="0"/>
        <v>0</v>
      </c>
      <c r="L32" s="486"/>
    </row>
    <row r="33" spans="1:12" s="15" customFormat="1">
      <c r="A33" s="197" t="s">
        <v>121</v>
      </c>
      <c r="B33" s="196" t="s">
        <v>119</v>
      </c>
      <c r="C33" s="179">
        <v>713317</v>
      </c>
      <c r="D33" s="179">
        <f t="shared" si="4"/>
        <v>-489279</v>
      </c>
      <c r="E33" s="179">
        <v>-489078</v>
      </c>
      <c r="F33" s="179">
        <v>-201</v>
      </c>
      <c r="G33" s="179">
        <v>224038</v>
      </c>
      <c r="H33" s="179">
        <v>218740</v>
      </c>
      <c r="I33" s="179">
        <f t="shared" si="5"/>
        <v>5298</v>
      </c>
      <c r="J33" s="180">
        <f t="shared" si="0"/>
        <v>0</v>
      </c>
      <c r="L33" s="486"/>
    </row>
    <row r="34" spans="1:12" s="15" customFormat="1">
      <c r="A34" s="197" t="s">
        <v>122</v>
      </c>
      <c r="B34" s="196" t="s">
        <v>120</v>
      </c>
      <c r="C34" s="179">
        <v>8006862</v>
      </c>
      <c r="D34" s="179">
        <f t="shared" si="4"/>
        <v>0</v>
      </c>
      <c r="E34" s="179">
        <v>0</v>
      </c>
      <c r="F34" s="179">
        <v>0</v>
      </c>
      <c r="G34" s="179">
        <v>8006862</v>
      </c>
      <c r="H34" s="179">
        <v>8556564</v>
      </c>
      <c r="I34" s="179">
        <f t="shared" si="5"/>
        <v>-549702</v>
      </c>
      <c r="J34" s="180">
        <f t="shared" si="0"/>
        <v>0</v>
      </c>
      <c r="L34" s="486"/>
    </row>
    <row r="35" spans="1:12" s="15" customFormat="1">
      <c r="A35" s="197" t="s">
        <v>128</v>
      </c>
      <c r="B35" s="196" t="s">
        <v>127</v>
      </c>
      <c r="C35" s="179">
        <v>0</v>
      </c>
      <c r="D35" s="179">
        <f t="shared" si="4"/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f t="shared" si="5"/>
        <v>0</v>
      </c>
      <c r="J35" s="180">
        <f t="shared" si="0"/>
        <v>0</v>
      </c>
      <c r="L35" s="486"/>
    </row>
    <row r="36" spans="1:12" s="15" customFormat="1">
      <c r="A36" s="192" t="s">
        <v>77</v>
      </c>
      <c r="B36" s="196" t="s">
        <v>78</v>
      </c>
      <c r="C36" s="179">
        <v>87115845</v>
      </c>
      <c r="D36" s="179">
        <f t="shared" si="4"/>
        <v>-1374656</v>
      </c>
      <c r="E36" s="179">
        <v>-148394</v>
      </c>
      <c r="F36" s="179">
        <v>-1226262</v>
      </c>
      <c r="G36" s="179">
        <v>85741189</v>
      </c>
      <c r="H36" s="179">
        <v>87228222</v>
      </c>
      <c r="I36" s="179">
        <f t="shared" si="5"/>
        <v>-1487033</v>
      </c>
      <c r="J36" s="180">
        <f t="shared" si="0"/>
        <v>0</v>
      </c>
      <c r="L36" s="486"/>
    </row>
    <row r="37" spans="1:12" s="15" customFormat="1">
      <c r="A37" s="192" t="s">
        <v>79</v>
      </c>
      <c r="B37" s="193" t="s">
        <v>80</v>
      </c>
      <c r="C37" s="179">
        <v>116734999</v>
      </c>
      <c r="D37" s="179">
        <f t="shared" si="4"/>
        <v>-11534</v>
      </c>
      <c r="E37" s="179">
        <v>-11534</v>
      </c>
      <c r="F37" s="179">
        <v>0</v>
      </c>
      <c r="G37" s="179">
        <v>116723465</v>
      </c>
      <c r="H37" s="179">
        <v>107465211</v>
      </c>
      <c r="I37" s="179">
        <f t="shared" si="5"/>
        <v>9258254</v>
      </c>
      <c r="J37" s="180">
        <f t="shared" si="0"/>
        <v>0</v>
      </c>
      <c r="L37" s="486"/>
    </row>
    <row r="38" spans="1:12" s="15" customFormat="1">
      <c r="A38" s="192" t="s">
        <v>139</v>
      </c>
      <c r="B38" s="193" t="s">
        <v>140</v>
      </c>
      <c r="C38" s="179">
        <v>10208211</v>
      </c>
      <c r="D38" s="179">
        <f t="shared" si="4"/>
        <v>-5304509</v>
      </c>
      <c r="E38" s="179">
        <v>-4833653</v>
      </c>
      <c r="F38" s="179">
        <v>-470856</v>
      </c>
      <c r="G38" s="179">
        <v>4903702</v>
      </c>
      <c r="H38" s="179">
        <v>4903702</v>
      </c>
      <c r="I38" s="179">
        <f t="shared" si="5"/>
        <v>0</v>
      </c>
      <c r="J38" s="180">
        <f t="shared" si="0"/>
        <v>0</v>
      </c>
      <c r="L38" s="486"/>
    </row>
    <row r="39" spans="1:12" s="15" customFormat="1">
      <c r="A39" s="192" t="s">
        <v>81</v>
      </c>
      <c r="B39" s="194" t="s">
        <v>82</v>
      </c>
      <c r="C39" s="179">
        <v>12549908</v>
      </c>
      <c r="D39" s="179">
        <f t="shared" si="4"/>
        <v>26503</v>
      </c>
      <c r="E39" s="179">
        <v>156609</v>
      </c>
      <c r="F39" s="179">
        <v>-130106</v>
      </c>
      <c r="G39" s="179">
        <v>12576411</v>
      </c>
      <c r="H39" s="179">
        <v>12337361</v>
      </c>
      <c r="I39" s="179">
        <f t="shared" si="5"/>
        <v>239050</v>
      </c>
      <c r="J39" s="180">
        <f t="shared" si="0"/>
        <v>0</v>
      </c>
      <c r="L39" s="486"/>
    </row>
    <row r="40" spans="1:12" s="15" customFormat="1">
      <c r="A40" s="192" t="s">
        <v>83</v>
      </c>
      <c r="B40" s="194" t="s">
        <v>84</v>
      </c>
      <c r="C40" s="179">
        <v>132886697</v>
      </c>
      <c r="D40" s="179">
        <f t="shared" si="4"/>
        <v>0</v>
      </c>
      <c r="E40" s="179">
        <v>0</v>
      </c>
      <c r="F40" s="179">
        <v>0</v>
      </c>
      <c r="G40" s="179">
        <v>132886697</v>
      </c>
      <c r="H40" s="179">
        <v>132303208</v>
      </c>
      <c r="I40" s="179">
        <f t="shared" si="5"/>
        <v>583489</v>
      </c>
      <c r="J40" s="180">
        <f t="shared" si="0"/>
        <v>0</v>
      </c>
      <c r="L40" s="486"/>
    </row>
    <row r="41" spans="1:12" s="15" customFormat="1">
      <c r="A41" s="192" t="s">
        <v>141</v>
      </c>
      <c r="B41" s="193" t="s">
        <v>142</v>
      </c>
      <c r="C41" s="179">
        <v>40117</v>
      </c>
      <c r="D41" s="179">
        <f t="shared" si="4"/>
        <v>-8437</v>
      </c>
      <c r="E41" s="179">
        <v>-3577</v>
      </c>
      <c r="F41" s="179">
        <v>-4860</v>
      </c>
      <c r="G41" s="179">
        <v>31680</v>
      </c>
      <c r="H41" s="179">
        <v>31680</v>
      </c>
      <c r="I41" s="179">
        <f t="shared" si="5"/>
        <v>0</v>
      </c>
      <c r="J41" s="180">
        <f t="shared" si="0"/>
        <v>0</v>
      </c>
      <c r="L41" s="486"/>
    </row>
    <row r="42" spans="1:12" s="15" customFormat="1">
      <c r="A42" s="192" t="s">
        <v>85</v>
      </c>
      <c r="B42" s="194" t="s">
        <v>86</v>
      </c>
      <c r="C42" s="179">
        <v>27762328</v>
      </c>
      <c r="D42" s="179">
        <f t="shared" si="4"/>
        <v>1223323</v>
      </c>
      <c r="E42" s="179">
        <v>1223323</v>
      </c>
      <c r="F42" s="179">
        <v>0</v>
      </c>
      <c r="G42" s="179">
        <v>28985651</v>
      </c>
      <c r="H42" s="179">
        <v>28985651</v>
      </c>
      <c r="I42" s="179">
        <f t="shared" si="5"/>
        <v>0</v>
      </c>
      <c r="J42" s="180">
        <f t="shared" ref="J42:J60" si="6">G42-C42-D42</f>
        <v>0</v>
      </c>
      <c r="L42" s="486"/>
    </row>
    <row r="43" spans="1:12" s="15" customFormat="1">
      <c r="A43" s="192" t="s">
        <v>87</v>
      </c>
      <c r="B43" s="199" t="s">
        <v>88</v>
      </c>
      <c r="C43" s="179">
        <v>1871690</v>
      </c>
      <c r="D43" s="179">
        <f t="shared" si="4"/>
        <v>422525</v>
      </c>
      <c r="E43" s="179">
        <v>1046689</v>
      </c>
      <c r="F43" s="179">
        <v>-624164</v>
      </c>
      <c r="G43" s="179">
        <v>2294215</v>
      </c>
      <c r="H43" s="179">
        <v>2294215</v>
      </c>
      <c r="I43" s="179">
        <f t="shared" si="5"/>
        <v>0</v>
      </c>
      <c r="J43" s="180">
        <f t="shared" si="6"/>
        <v>0</v>
      </c>
      <c r="L43" s="486"/>
    </row>
    <row r="44" spans="1:12" s="15" customFormat="1">
      <c r="A44" s="192" t="s">
        <v>89</v>
      </c>
      <c r="B44" s="193" t="s">
        <v>90</v>
      </c>
      <c r="C44" s="179">
        <v>9445749</v>
      </c>
      <c r="D44" s="179">
        <f t="shared" si="4"/>
        <v>12581</v>
      </c>
      <c r="E44" s="179">
        <v>-129579</v>
      </c>
      <c r="F44" s="179">
        <v>142160</v>
      </c>
      <c r="G44" s="179">
        <v>9458330</v>
      </c>
      <c r="H44" s="179">
        <v>9458330</v>
      </c>
      <c r="I44" s="179">
        <f t="shared" si="5"/>
        <v>0</v>
      </c>
      <c r="J44" s="180">
        <f t="shared" si="6"/>
        <v>0</v>
      </c>
      <c r="L44" s="486"/>
    </row>
    <row r="45" spans="1:12" s="15" customFormat="1">
      <c r="A45" s="192" t="s">
        <v>148</v>
      </c>
      <c r="B45" s="193" t="s">
        <v>149</v>
      </c>
      <c r="C45" s="179">
        <v>0</v>
      </c>
      <c r="D45" s="179">
        <f t="shared" si="4"/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f t="shared" si="5"/>
        <v>0</v>
      </c>
      <c r="J45" s="180">
        <f t="shared" si="6"/>
        <v>0</v>
      </c>
      <c r="L45" s="486"/>
    </row>
    <row r="46" spans="1:12" s="15" customFormat="1">
      <c r="A46" s="192" t="s">
        <v>150</v>
      </c>
      <c r="B46" s="193" t="s">
        <v>151</v>
      </c>
      <c r="C46" s="179">
        <v>0</v>
      </c>
      <c r="D46" s="179">
        <f t="shared" si="4"/>
        <v>0</v>
      </c>
      <c r="E46" s="179">
        <v>0</v>
      </c>
      <c r="F46" s="179">
        <v>0</v>
      </c>
      <c r="G46" s="179">
        <v>0</v>
      </c>
      <c r="H46" s="179">
        <v>0</v>
      </c>
      <c r="I46" s="179">
        <f t="shared" si="5"/>
        <v>0</v>
      </c>
      <c r="J46" s="180">
        <f t="shared" si="6"/>
        <v>0</v>
      </c>
      <c r="L46" s="486"/>
    </row>
    <row r="47" spans="1:12" s="15" customFormat="1">
      <c r="A47" s="192" t="s">
        <v>118</v>
      </c>
      <c r="B47" s="198" t="s">
        <v>132</v>
      </c>
      <c r="C47" s="179">
        <v>9996513</v>
      </c>
      <c r="D47" s="179">
        <f t="shared" si="4"/>
        <v>619944</v>
      </c>
      <c r="E47" s="179">
        <v>891667</v>
      </c>
      <c r="F47" s="179">
        <v>-271723</v>
      </c>
      <c r="G47" s="179">
        <v>10616457</v>
      </c>
      <c r="H47" s="179">
        <v>10589759</v>
      </c>
      <c r="I47" s="179">
        <f t="shared" si="5"/>
        <v>26698</v>
      </c>
      <c r="J47" s="180">
        <f t="shared" si="6"/>
        <v>0</v>
      </c>
      <c r="L47" s="486"/>
    </row>
    <row r="48" spans="1:12" s="15" customFormat="1">
      <c r="A48" s="192" t="s">
        <v>193</v>
      </c>
      <c r="B48" s="198" t="s">
        <v>191</v>
      </c>
      <c r="C48" s="179">
        <v>0</v>
      </c>
      <c r="D48" s="179">
        <f t="shared" si="4"/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f t="shared" si="5"/>
        <v>0</v>
      </c>
      <c r="J48" s="180">
        <f t="shared" si="6"/>
        <v>0</v>
      </c>
      <c r="L48" s="486"/>
    </row>
    <row r="49" spans="1:12" s="15" customFormat="1">
      <c r="A49" s="192" t="s">
        <v>194</v>
      </c>
      <c r="B49" s="198" t="s">
        <v>192</v>
      </c>
      <c r="C49" s="179">
        <v>0</v>
      </c>
      <c r="D49" s="179">
        <f t="shared" si="4"/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f t="shared" si="5"/>
        <v>0</v>
      </c>
      <c r="J49" s="180">
        <f t="shared" si="6"/>
        <v>0</v>
      </c>
      <c r="L49" s="486"/>
    </row>
    <row r="50" spans="1:12" s="15" customFormat="1">
      <c r="A50" s="192" t="s">
        <v>193</v>
      </c>
      <c r="B50" s="198" t="s">
        <v>276</v>
      </c>
      <c r="C50" s="179">
        <v>17200000</v>
      </c>
      <c r="D50" s="179">
        <f t="shared" si="4"/>
        <v>1321411</v>
      </c>
      <c r="E50" s="179">
        <v>1312724</v>
      </c>
      <c r="F50" s="179">
        <v>8687</v>
      </c>
      <c r="G50" s="179">
        <v>18521411</v>
      </c>
      <c r="H50" s="179">
        <v>18521411</v>
      </c>
      <c r="I50" s="179">
        <f t="shared" si="5"/>
        <v>0</v>
      </c>
      <c r="J50" s="180">
        <f t="shared" si="6"/>
        <v>0</v>
      </c>
      <c r="L50" s="486"/>
    </row>
    <row r="51" spans="1:12" s="15" customFormat="1">
      <c r="A51" s="192" t="s">
        <v>570</v>
      </c>
      <c r="B51" s="198" t="s">
        <v>571</v>
      </c>
      <c r="C51" s="179"/>
      <c r="D51" s="179">
        <f t="shared" si="4"/>
        <v>41168</v>
      </c>
      <c r="E51" s="179">
        <v>240803</v>
      </c>
      <c r="F51" s="179">
        <v>-199635</v>
      </c>
      <c r="G51" s="179">
        <v>41168</v>
      </c>
      <c r="H51" s="179">
        <v>41168</v>
      </c>
      <c r="I51" s="179"/>
      <c r="J51" s="180"/>
      <c r="L51" s="486"/>
    </row>
    <row r="52" spans="1:12" s="15" customFormat="1" ht="16.2">
      <c r="A52" s="182" t="s">
        <v>91</v>
      </c>
      <c r="B52" s="190"/>
      <c r="C52" s="200">
        <f>SUM(C21:C51)</f>
        <v>887681249</v>
      </c>
      <c r="D52" s="200">
        <f t="shared" ref="D52:I52" si="7">SUM(D21:D51)</f>
        <v>-7607675</v>
      </c>
      <c r="E52" s="200">
        <v>-2537285</v>
      </c>
      <c r="F52" s="200">
        <f t="shared" si="7"/>
        <v>-5070390</v>
      </c>
      <c r="G52" s="200">
        <f t="shared" si="7"/>
        <v>880073574</v>
      </c>
      <c r="H52" s="200">
        <f t="shared" si="7"/>
        <v>870849415</v>
      </c>
      <c r="I52" s="200">
        <f t="shared" si="7"/>
        <v>9224159</v>
      </c>
      <c r="J52" s="180">
        <f t="shared" si="6"/>
        <v>0</v>
      </c>
      <c r="L52" s="486"/>
    </row>
    <row r="53" spans="1:12" s="15" customFormat="1" ht="16.2">
      <c r="A53" s="185"/>
      <c r="B53" s="191"/>
      <c r="C53" s="187"/>
      <c r="D53" s="187"/>
      <c r="E53" s="187"/>
      <c r="F53" s="187"/>
      <c r="G53" s="187"/>
      <c r="H53" s="187"/>
      <c r="I53" s="187"/>
      <c r="J53" s="180">
        <f t="shared" si="6"/>
        <v>0</v>
      </c>
    </row>
    <row r="54" spans="1:12" s="15" customFormat="1">
      <c r="A54" s="201" t="s">
        <v>92</v>
      </c>
      <c r="B54" s="193" t="s">
        <v>93</v>
      </c>
      <c r="C54" s="179">
        <v>6683448</v>
      </c>
      <c r="D54" s="179">
        <f>E54+F54</f>
        <v>-295382</v>
      </c>
      <c r="E54" s="179">
        <v>-296382</v>
      </c>
      <c r="F54" s="179">
        <v>1000</v>
      </c>
      <c r="G54" s="179">
        <v>6388066</v>
      </c>
      <c r="H54" s="179">
        <v>6372035</v>
      </c>
      <c r="I54" s="179">
        <f>G54-H54</f>
        <v>16031</v>
      </c>
      <c r="J54" s="180">
        <f t="shared" si="6"/>
        <v>0</v>
      </c>
    </row>
    <row r="55" spans="1:12" s="15" customFormat="1">
      <c r="A55" s="201" t="s">
        <v>94</v>
      </c>
      <c r="B55" s="193" t="s">
        <v>95</v>
      </c>
      <c r="C55" s="179">
        <v>85848</v>
      </c>
      <c r="D55" s="179">
        <f>E55+F55</f>
        <v>458365</v>
      </c>
      <c r="E55" s="179">
        <v>458365</v>
      </c>
      <c r="F55" s="179">
        <v>0</v>
      </c>
      <c r="G55" s="179">
        <v>544213</v>
      </c>
      <c r="H55" s="179">
        <v>482778</v>
      </c>
      <c r="I55" s="179">
        <f>G55-H55</f>
        <v>61435</v>
      </c>
      <c r="J55" s="180">
        <f t="shared" si="6"/>
        <v>0</v>
      </c>
    </row>
    <row r="56" spans="1:12" s="15" customFormat="1">
      <c r="A56" s="201" t="s">
        <v>96</v>
      </c>
      <c r="B56" s="194" t="s">
        <v>97</v>
      </c>
      <c r="C56" s="179">
        <v>982500</v>
      </c>
      <c r="D56" s="179">
        <f>E56+F56</f>
        <v>0</v>
      </c>
      <c r="E56" s="179">
        <v>0</v>
      </c>
      <c r="F56" s="179">
        <v>0</v>
      </c>
      <c r="G56" s="179">
        <v>982500</v>
      </c>
      <c r="H56" s="179">
        <v>700000</v>
      </c>
      <c r="I56" s="179">
        <f>G56-H56</f>
        <v>282500</v>
      </c>
      <c r="J56" s="180">
        <f t="shared" si="6"/>
        <v>0</v>
      </c>
    </row>
    <row r="57" spans="1:12" s="15" customFormat="1">
      <c r="A57" s="201" t="s">
        <v>167</v>
      </c>
      <c r="B57" s="193" t="s">
        <v>166</v>
      </c>
      <c r="C57" s="179">
        <v>8792</v>
      </c>
      <c r="D57" s="179">
        <f>E57+F57</f>
        <v>0</v>
      </c>
      <c r="E57" s="179">
        <v>0</v>
      </c>
      <c r="F57" s="179">
        <v>0</v>
      </c>
      <c r="G57" s="179">
        <v>8792</v>
      </c>
      <c r="H57" s="179">
        <v>8792</v>
      </c>
      <c r="I57" s="179">
        <f>G57-H57</f>
        <v>0</v>
      </c>
      <c r="J57" s="180">
        <f t="shared" si="6"/>
        <v>0</v>
      </c>
    </row>
    <row r="58" spans="1:12" s="15" customFormat="1">
      <c r="A58" s="182" t="s">
        <v>201</v>
      </c>
      <c r="B58" s="202"/>
      <c r="C58" s="184">
        <f t="shared" ref="C58:I58" si="8">SUM(C54:C57)</f>
        <v>7760588</v>
      </c>
      <c r="D58" s="184">
        <f t="shared" si="8"/>
        <v>162983</v>
      </c>
      <c r="E58" s="184">
        <v>161983</v>
      </c>
      <c r="F58" s="184">
        <f>SUM(F54:F57)</f>
        <v>1000</v>
      </c>
      <c r="G58" s="184">
        <f>SUM(G54:G57)</f>
        <v>7923571</v>
      </c>
      <c r="H58" s="184">
        <f t="shared" si="8"/>
        <v>7563605</v>
      </c>
      <c r="I58" s="184">
        <f t="shared" si="8"/>
        <v>359966</v>
      </c>
      <c r="J58" s="180">
        <f t="shared" si="6"/>
        <v>0</v>
      </c>
    </row>
    <row r="59" spans="1:12" s="15" customFormat="1">
      <c r="A59" s="203"/>
      <c r="B59" s="204"/>
      <c r="C59" s="187"/>
      <c r="D59" s="187"/>
      <c r="E59" s="187"/>
      <c r="F59" s="187"/>
      <c r="G59" s="187"/>
      <c r="H59" s="187"/>
      <c r="I59" s="187"/>
      <c r="J59" s="180">
        <f t="shared" si="6"/>
        <v>0</v>
      </c>
    </row>
    <row r="60" spans="1:12" s="15" customFormat="1" ht="16.2" thickBot="1">
      <c r="A60" s="205" t="s">
        <v>98</v>
      </c>
      <c r="B60" s="206"/>
      <c r="C60" s="207">
        <f t="shared" ref="C60:I60" si="9">SUM(C58,C52,C19)</f>
        <v>2039903861</v>
      </c>
      <c r="D60" s="207">
        <f t="shared" si="9"/>
        <v>75260608</v>
      </c>
      <c r="E60" s="207">
        <v>80329998</v>
      </c>
      <c r="F60" s="208">
        <f>SUM(F58,F52,F19)</f>
        <v>-5069390</v>
      </c>
      <c r="G60" s="208">
        <f>SUM(G58,G52,G19)</f>
        <v>2115164469</v>
      </c>
      <c r="H60" s="208">
        <f t="shared" si="9"/>
        <v>2080395570</v>
      </c>
      <c r="I60" s="208">
        <f t="shared" si="9"/>
        <v>34768899</v>
      </c>
      <c r="J60" s="180">
        <f t="shared" si="6"/>
        <v>0</v>
      </c>
    </row>
    <row r="61" spans="1:12" s="15" customFormat="1" ht="14.4" thickTop="1">
      <c r="B61" s="39"/>
      <c r="C61" s="40"/>
      <c r="D61" s="16"/>
      <c r="E61" s="16"/>
      <c r="F61" s="16"/>
      <c r="G61" s="16"/>
      <c r="H61" s="16"/>
      <c r="I61" s="16"/>
    </row>
    <row r="62" spans="1:12" s="15" customFormat="1" ht="13.8">
      <c r="B62" s="41"/>
      <c r="C62" s="40"/>
      <c r="D62" s="16"/>
      <c r="E62" s="16"/>
      <c r="F62" s="16"/>
      <c r="G62" s="16"/>
      <c r="H62" s="16"/>
      <c r="I62" s="16"/>
    </row>
    <row r="63" spans="1:12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2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  <row r="91" spans="2:9" s="15" customFormat="1" ht="13.8">
      <c r="B91" s="41"/>
      <c r="C91" s="40"/>
      <c r="D91" s="16"/>
      <c r="E91" s="16"/>
      <c r="F91" s="16"/>
      <c r="G91" s="16"/>
      <c r="H91" s="16"/>
      <c r="I91" s="16"/>
    </row>
    <row r="92" spans="2:9" s="15" customFormat="1" ht="13.8">
      <c r="B92" s="41"/>
      <c r="C92" s="40"/>
      <c r="D92" s="16"/>
      <c r="E92" s="16"/>
      <c r="F92" s="16"/>
      <c r="G92" s="16"/>
      <c r="H92" s="16"/>
      <c r="I92" s="16"/>
    </row>
    <row r="93" spans="2:9" s="15" customFormat="1" ht="13.8">
      <c r="B93" s="41"/>
      <c r="C93" s="40"/>
      <c r="D93" s="16"/>
      <c r="E93" s="16"/>
      <c r="F93" s="16"/>
      <c r="G93" s="16"/>
      <c r="H93" s="16"/>
      <c r="I93" s="16"/>
    </row>
  </sheetData>
  <phoneticPr fontId="5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7" activePane="bottomLeft" state="frozen"/>
      <selection activeCell="G53" sqref="G53"/>
      <selection pane="bottomLeft" activeCell="A5" sqref="A5:B5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6" s="1" customFormat="1" ht="15.6">
      <c r="A2" s="210" t="s">
        <v>545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6" s="1" customFormat="1" ht="15.6">
      <c r="A3" s="160" t="str">
        <f>'Schedule 1'!A3:L3</f>
        <v>Data Through August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6" ht="15.6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6" s="15" customFormat="1" ht="15.6">
      <c r="A5" s="652"/>
      <c r="B5" s="653"/>
      <c r="C5" s="212"/>
      <c r="D5" s="212"/>
      <c r="E5" s="654" t="s">
        <v>6</v>
      </c>
      <c r="F5" s="655"/>
      <c r="G5" s="655"/>
      <c r="H5" s="655"/>
      <c r="I5" s="655"/>
      <c r="J5" s="655"/>
      <c r="K5" s="655"/>
      <c r="L5" s="655"/>
      <c r="M5" s="213"/>
      <c r="N5" s="214"/>
    </row>
    <row r="6" spans="1:16" s="15" customFormat="1" ht="32.4">
      <c r="A6" s="215"/>
      <c r="B6" s="216"/>
      <c r="C6" s="217" t="s">
        <v>4</v>
      </c>
      <c r="D6" s="217" t="s">
        <v>5</v>
      </c>
      <c r="E6" s="218" t="s">
        <v>244</v>
      </c>
      <c r="F6" s="218" t="s">
        <v>430</v>
      </c>
      <c r="G6" s="219" t="s">
        <v>198</v>
      </c>
      <c r="H6" s="218" t="s">
        <v>245</v>
      </c>
      <c r="I6" s="218" t="s">
        <v>246</v>
      </c>
      <c r="J6" s="218" t="s">
        <v>330</v>
      </c>
      <c r="K6" s="219" t="s">
        <v>199</v>
      </c>
      <c r="L6" s="220" t="s">
        <v>145</v>
      </c>
      <c r="M6" s="221" t="s">
        <v>146</v>
      </c>
      <c r="N6" s="222" t="s">
        <v>147</v>
      </c>
    </row>
    <row r="7" spans="1:16" s="15" customFormat="1" ht="9" customHeight="1">
      <c r="A7" s="223"/>
      <c r="B7" s="223"/>
      <c r="C7" s="224"/>
      <c r="D7" s="224"/>
      <c r="E7" s="225"/>
      <c r="F7" s="225"/>
      <c r="G7" s="226"/>
      <c r="H7" s="225"/>
      <c r="I7" s="225"/>
      <c r="J7" s="225"/>
      <c r="K7" s="226"/>
      <c r="L7" s="226"/>
      <c r="M7" s="226"/>
      <c r="N7" s="226"/>
    </row>
    <row r="8" spans="1:16" s="69" customFormat="1" ht="18" customHeight="1">
      <c r="A8" s="135" t="s">
        <v>22</v>
      </c>
      <c r="B8" s="135" t="s">
        <v>7</v>
      </c>
      <c r="C8" s="227">
        <v>8457717</v>
      </c>
      <c r="D8" s="227">
        <v>0</v>
      </c>
      <c r="E8" s="227">
        <v>10336505</v>
      </c>
      <c r="F8" s="227">
        <v>0</v>
      </c>
      <c r="G8" s="227">
        <v>55922</v>
      </c>
      <c r="H8" s="227">
        <v>2246864</v>
      </c>
      <c r="I8" s="227">
        <v>327368</v>
      </c>
      <c r="J8" s="227">
        <v>0</v>
      </c>
      <c r="K8" s="227">
        <v>0</v>
      </c>
      <c r="L8" s="227">
        <f>SUM(E8:K8)</f>
        <v>12966659</v>
      </c>
      <c r="M8" s="227">
        <v>0</v>
      </c>
      <c r="N8" s="227">
        <f>SUM(C8,D8,L8,M8)</f>
        <v>21424376</v>
      </c>
      <c r="O8" s="364"/>
      <c r="P8" s="364"/>
    </row>
    <row r="9" spans="1:16" s="69" customFormat="1" ht="18" customHeight="1">
      <c r="A9" s="656" t="s">
        <v>239</v>
      </c>
      <c r="B9" s="657"/>
      <c r="C9" s="228">
        <f>C8</f>
        <v>8457717</v>
      </c>
      <c r="D9" s="228">
        <f t="shared" ref="D9:J9" si="0">D8</f>
        <v>0</v>
      </c>
      <c r="E9" s="228">
        <f t="shared" si="0"/>
        <v>10336505</v>
      </c>
      <c r="F9" s="228">
        <f t="shared" si="0"/>
        <v>0</v>
      </c>
      <c r="G9" s="228">
        <f t="shared" si="0"/>
        <v>55922</v>
      </c>
      <c r="H9" s="228">
        <f t="shared" si="0"/>
        <v>2246864</v>
      </c>
      <c r="I9" s="228">
        <f t="shared" si="0"/>
        <v>327368</v>
      </c>
      <c r="J9" s="228">
        <f t="shared" si="0"/>
        <v>0</v>
      </c>
      <c r="K9" s="228">
        <f>K8</f>
        <v>0</v>
      </c>
      <c r="L9" s="228">
        <f t="shared" ref="L9:N9" si="1">L8</f>
        <v>12966659</v>
      </c>
      <c r="M9" s="228">
        <f t="shared" si="1"/>
        <v>0</v>
      </c>
      <c r="N9" s="228">
        <f t="shared" si="1"/>
        <v>21424376</v>
      </c>
      <c r="O9" s="364"/>
      <c r="P9" s="364"/>
    </row>
    <row r="10" spans="1:16" s="69" customFormat="1" ht="18" customHeight="1">
      <c r="A10" s="135" t="s">
        <v>23</v>
      </c>
      <c r="B10" s="135" t="s">
        <v>8</v>
      </c>
      <c r="C10" s="227">
        <v>501713553</v>
      </c>
      <c r="D10" s="227">
        <v>0</v>
      </c>
      <c r="E10" s="227">
        <v>118040839</v>
      </c>
      <c r="F10" s="227">
        <v>0</v>
      </c>
      <c r="G10" s="227">
        <v>62939501</v>
      </c>
      <c r="H10" s="227">
        <v>0</v>
      </c>
      <c r="I10" s="227">
        <v>7207316</v>
      </c>
      <c r="J10" s="227">
        <v>0</v>
      </c>
      <c r="K10" s="227">
        <v>28729981</v>
      </c>
      <c r="L10" s="227">
        <f t="shared" ref="L10:L21" si="2">SUM(E10:K10)</f>
        <v>216917637</v>
      </c>
      <c r="M10" s="227">
        <v>5773222</v>
      </c>
      <c r="N10" s="227">
        <f t="shared" ref="N10:N21" si="3">SUM(C10,D10,L10,M10)</f>
        <v>724404412</v>
      </c>
      <c r="O10" s="364"/>
      <c r="P10" s="364"/>
    </row>
    <row r="11" spans="1:16" s="69" customFormat="1" ht="18" customHeight="1">
      <c r="A11" s="135" t="s">
        <v>24</v>
      </c>
      <c r="B11" s="135" t="s">
        <v>9</v>
      </c>
      <c r="C11" s="227">
        <v>16199832</v>
      </c>
      <c r="D11" s="227">
        <v>0</v>
      </c>
      <c r="E11" s="227">
        <v>10812636</v>
      </c>
      <c r="F11" s="227">
        <v>0</v>
      </c>
      <c r="G11" s="227">
        <v>6017268</v>
      </c>
      <c r="H11" s="227">
        <v>442417</v>
      </c>
      <c r="I11" s="227">
        <v>246618</v>
      </c>
      <c r="J11" s="227">
        <v>0</v>
      </c>
      <c r="K11" s="227">
        <v>7044866</v>
      </c>
      <c r="L11" s="227">
        <f t="shared" si="2"/>
        <v>24563805</v>
      </c>
      <c r="M11" s="227">
        <v>20955</v>
      </c>
      <c r="N11" s="227">
        <f t="shared" si="3"/>
        <v>40784592</v>
      </c>
      <c r="O11" s="364"/>
      <c r="P11" s="364"/>
    </row>
    <row r="12" spans="1:16" s="69" customFormat="1" ht="18" customHeight="1">
      <c r="A12" s="135" t="s">
        <v>25</v>
      </c>
      <c r="B12" s="135" t="s">
        <v>170</v>
      </c>
      <c r="C12" s="227">
        <v>38707693</v>
      </c>
      <c r="D12" s="227">
        <v>0</v>
      </c>
      <c r="E12" s="227">
        <v>0</v>
      </c>
      <c r="F12" s="227">
        <v>29531862</v>
      </c>
      <c r="G12" s="227">
        <v>5653708</v>
      </c>
      <c r="H12" s="227">
        <v>0</v>
      </c>
      <c r="I12" s="227">
        <v>0</v>
      </c>
      <c r="J12" s="227">
        <v>0</v>
      </c>
      <c r="K12" s="227">
        <v>0</v>
      </c>
      <c r="L12" s="227">
        <f t="shared" si="2"/>
        <v>35185570</v>
      </c>
      <c r="M12" s="227">
        <v>0</v>
      </c>
      <c r="N12" s="227">
        <f t="shared" si="3"/>
        <v>73893263</v>
      </c>
      <c r="O12" s="364"/>
      <c r="P12" s="364"/>
    </row>
    <row r="13" spans="1:16" s="69" customFormat="1" ht="18" customHeight="1">
      <c r="A13" s="135" t="s">
        <v>26</v>
      </c>
      <c r="B13" s="135" t="s">
        <v>171</v>
      </c>
      <c r="C13" s="227">
        <v>9648568</v>
      </c>
      <c r="D13" s="227">
        <v>0</v>
      </c>
      <c r="E13" s="227">
        <v>0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5041972</v>
      </c>
      <c r="L13" s="227">
        <f t="shared" si="2"/>
        <v>5041972</v>
      </c>
      <c r="M13" s="227">
        <v>0</v>
      </c>
      <c r="N13" s="227">
        <f t="shared" si="3"/>
        <v>14690540</v>
      </c>
      <c r="O13" s="364"/>
      <c r="P13" s="364"/>
    </row>
    <row r="14" spans="1:16" s="69" customFormat="1" ht="18" customHeight="1">
      <c r="A14" s="135" t="s">
        <v>27</v>
      </c>
      <c r="B14" s="135" t="s">
        <v>172</v>
      </c>
      <c r="C14" s="227">
        <v>2239291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2038867</v>
      </c>
      <c r="L14" s="227">
        <f t="shared" si="2"/>
        <v>2038867</v>
      </c>
      <c r="M14" s="227">
        <v>0</v>
      </c>
      <c r="N14" s="227">
        <f t="shared" si="3"/>
        <v>4278158</v>
      </c>
      <c r="O14" s="364"/>
      <c r="P14" s="364"/>
    </row>
    <row r="15" spans="1:16" s="69" customFormat="1" ht="18" customHeight="1">
      <c r="A15" s="135" t="s">
        <v>106</v>
      </c>
      <c r="B15" s="135" t="s">
        <v>11</v>
      </c>
      <c r="C15" s="227">
        <v>1229130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8683359</v>
      </c>
      <c r="L15" s="227">
        <f t="shared" si="2"/>
        <v>8683359</v>
      </c>
      <c r="M15" s="227">
        <v>1000</v>
      </c>
      <c r="N15" s="227">
        <f t="shared" si="3"/>
        <v>9913489</v>
      </c>
      <c r="O15" s="364"/>
      <c r="P15" s="364"/>
    </row>
    <row r="16" spans="1:16" s="81" customFormat="1" ht="18" customHeight="1">
      <c r="A16" s="135" t="s">
        <v>107</v>
      </c>
      <c r="B16" s="135" t="s">
        <v>173</v>
      </c>
      <c r="C16" s="227">
        <v>18469436</v>
      </c>
      <c r="D16" s="227">
        <v>0</v>
      </c>
      <c r="E16" s="227">
        <v>594718</v>
      </c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54735</v>
      </c>
      <c r="L16" s="227">
        <f t="shared" si="2"/>
        <v>649453</v>
      </c>
      <c r="M16" s="227">
        <v>0</v>
      </c>
      <c r="N16" s="227">
        <f t="shared" si="3"/>
        <v>19118889</v>
      </c>
      <c r="O16" s="364"/>
      <c r="P16" s="364"/>
    </row>
    <row r="17" spans="1:16" s="81" customFormat="1" ht="18" customHeight="1">
      <c r="A17" s="135" t="s">
        <v>108</v>
      </c>
      <c r="B17" s="135" t="s">
        <v>174</v>
      </c>
      <c r="C17" s="227">
        <v>26470342</v>
      </c>
      <c r="D17" s="227">
        <v>0</v>
      </c>
      <c r="E17" s="227">
        <v>2053865</v>
      </c>
      <c r="F17" s="227">
        <v>0</v>
      </c>
      <c r="G17" s="227">
        <v>303411</v>
      </c>
      <c r="H17" s="227">
        <v>0</v>
      </c>
      <c r="I17" s="227">
        <v>0</v>
      </c>
      <c r="J17" s="227">
        <v>0</v>
      </c>
      <c r="K17" s="227">
        <v>15810232</v>
      </c>
      <c r="L17" s="227">
        <f t="shared" si="2"/>
        <v>18167508</v>
      </c>
      <c r="M17" s="227">
        <v>0</v>
      </c>
      <c r="N17" s="227">
        <f t="shared" si="3"/>
        <v>44637850</v>
      </c>
      <c r="O17" s="364"/>
      <c r="P17" s="364"/>
    </row>
    <row r="18" spans="1:16" s="81" customFormat="1" ht="18" customHeight="1">
      <c r="A18" s="135" t="s">
        <v>109</v>
      </c>
      <c r="B18" s="135" t="s">
        <v>175</v>
      </c>
      <c r="C18" s="227">
        <v>238189977</v>
      </c>
      <c r="D18" s="227">
        <v>0</v>
      </c>
      <c r="E18" s="227">
        <v>156000000</v>
      </c>
      <c r="F18" s="227">
        <v>0</v>
      </c>
      <c r="G18" s="227">
        <v>125618146</v>
      </c>
      <c r="H18" s="227">
        <v>0</v>
      </c>
      <c r="I18" s="227">
        <v>0</v>
      </c>
      <c r="J18" s="227">
        <v>0</v>
      </c>
      <c r="K18" s="227">
        <v>0</v>
      </c>
      <c r="L18" s="227">
        <f t="shared" si="2"/>
        <v>281618146</v>
      </c>
      <c r="M18" s="227">
        <v>700000</v>
      </c>
      <c r="N18" s="227">
        <f t="shared" si="3"/>
        <v>520508123</v>
      </c>
      <c r="O18" s="364"/>
      <c r="P18" s="364"/>
    </row>
    <row r="19" spans="1:16" s="81" customFormat="1" ht="18" customHeight="1">
      <c r="A19" s="135" t="s">
        <v>110</v>
      </c>
      <c r="B19" s="135" t="s">
        <v>176</v>
      </c>
      <c r="C19" s="227">
        <v>146029010</v>
      </c>
      <c r="D19" s="227">
        <v>0</v>
      </c>
      <c r="E19" s="227">
        <v>0</v>
      </c>
      <c r="F19" s="227">
        <v>0</v>
      </c>
      <c r="G19" s="227">
        <v>143912141</v>
      </c>
      <c r="H19" s="227">
        <v>0</v>
      </c>
      <c r="I19" s="227">
        <v>0</v>
      </c>
      <c r="J19" s="227">
        <v>0</v>
      </c>
      <c r="K19" s="227">
        <v>0</v>
      </c>
      <c r="L19" s="227">
        <f t="shared" si="2"/>
        <v>143912141</v>
      </c>
      <c r="M19" s="227">
        <v>0</v>
      </c>
      <c r="N19" s="227">
        <f t="shared" si="3"/>
        <v>289941151</v>
      </c>
      <c r="O19" s="364"/>
      <c r="P19" s="364"/>
    </row>
    <row r="20" spans="1:16" s="81" customFormat="1" ht="18" customHeight="1">
      <c r="A20" s="135" t="s">
        <v>111</v>
      </c>
      <c r="B20" s="135" t="s">
        <v>177</v>
      </c>
      <c r="C20" s="227">
        <v>23258113</v>
      </c>
      <c r="D20" s="227">
        <v>0</v>
      </c>
      <c r="E20" s="227">
        <v>10790638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f t="shared" si="2"/>
        <v>10790638</v>
      </c>
      <c r="M20" s="227">
        <v>0</v>
      </c>
      <c r="N20" s="227">
        <f t="shared" si="3"/>
        <v>34048751</v>
      </c>
      <c r="O20" s="364"/>
      <c r="P20" s="364"/>
    </row>
    <row r="21" spans="1:16" s="81" customFormat="1" ht="18" customHeight="1">
      <c r="A21" s="135" t="s">
        <v>271</v>
      </c>
      <c r="B21" s="135" t="s">
        <v>335</v>
      </c>
      <c r="C21" s="227">
        <v>6016600</v>
      </c>
      <c r="D21" s="227">
        <v>0</v>
      </c>
      <c r="E21" s="227">
        <v>0</v>
      </c>
      <c r="F21" s="227">
        <v>0</v>
      </c>
      <c r="G21" s="227">
        <v>0</v>
      </c>
      <c r="H21" s="227">
        <v>1223323</v>
      </c>
      <c r="I21" s="227">
        <v>0</v>
      </c>
      <c r="J21" s="227">
        <v>0</v>
      </c>
      <c r="K21" s="227">
        <v>0</v>
      </c>
      <c r="L21" s="227">
        <f t="shared" si="2"/>
        <v>1223323</v>
      </c>
      <c r="M21" s="227">
        <v>0</v>
      </c>
      <c r="N21" s="227">
        <f t="shared" si="3"/>
        <v>7239923</v>
      </c>
      <c r="O21" s="364"/>
      <c r="P21" s="364"/>
    </row>
    <row r="22" spans="1:16" s="81" customFormat="1" ht="18" customHeight="1">
      <c r="A22" s="656" t="s">
        <v>240</v>
      </c>
      <c r="B22" s="657"/>
      <c r="C22" s="228">
        <f t="shared" ref="C22:N22" si="4">SUM(C10:C21)</f>
        <v>1028171545</v>
      </c>
      <c r="D22" s="228">
        <f t="shared" ref="D22:J22" si="5">SUM(D10:D21)</f>
        <v>0</v>
      </c>
      <c r="E22" s="228">
        <f t="shared" si="5"/>
        <v>298292696</v>
      </c>
      <c r="F22" s="228">
        <f t="shared" si="5"/>
        <v>29531862</v>
      </c>
      <c r="G22" s="228">
        <f t="shared" si="5"/>
        <v>344444175</v>
      </c>
      <c r="H22" s="228">
        <f t="shared" si="5"/>
        <v>1665740</v>
      </c>
      <c r="I22" s="228">
        <f t="shared" si="5"/>
        <v>7453934</v>
      </c>
      <c r="J22" s="228">
        <f t="shared" si="5"/>
        <v>0</v>
      </c>
      <c r="K22" s="228">
        <f t="shared" ref="K22" si="6">SUM(K10:K21)</f>
        <v>67404012</v>
      </c>
      <c r="L22" s="228">
        <f t="shared" si="4"/>
        <v>748792419</v>
      </c>
      <c r="M22" s="228">
        <f t="shared" si="4"/>
        <v>6495177</v>
      </c>
      <c r="N22" s="228">
        <f t="shared" si="4"/>
        <v>1783459141</v>
      </c>
      <c r="O22" s="364"/>
      <c r="P22" s="364"/>
    </row>
    <row r="23" spans="1:16" s="81" customFormat="1" ht="18" customHeight="1">
      <c r="A23" s="131" t="s">
        <v>28</v>
      </c>
      <c r="B23" s="122" t="s">
        <v>14</v>
      </c>
      <c r="C23" s="227">
        <v>15124088</v>
      </c>
      <c r="D23" s="227">
        <v>5685701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3502570</v>
      </c>
      <c r="L23" s="227">
        <f t="shared" ref="L23:L28" si="7">SUM(E23:K23)</f>
        <v>3502570</v>
      </c>
      <c r="M23" s="227">
        <v>0</v>
      </c>
      <c r="N23" s="227">
        <f t="shared" ref="N23:N28" si="8">SUM(C23,D23,L23,M23)</f>
        <v>24312359</v>
      </c>
      <c r="O23" s="364"/>
      <c r="P23" s="364"/>
    </row>
    <row r="24" spans="1:16" s="81" customFormat="1" ht="18" customHeight="1">
      <c r="A24" s="131" t="s">
        <v>112</v>
      </c>
      <c r="B24" s="122" t="s">
        <v>15</v>
      </c>
      <c r="C24" s="227">
        <v>6160952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2261607</v>
      </c>
      <c r="L24" s="227">
        <f t="shared" si="7"/>
        <v>2261607</v>
      </c>
      <c r="M24" s="227">
        <v>0</v>
      </c>
      <c r="N24" s="227">
        <f t="shared" si="8"/>
        <v>8422559</v>
      </c>
      <c r="O24" s="364"/>
      <c r="P24" s="364"/>
    </row>
    <row r="25" spans="1:16" s="81" customFormat="1" ht="18" customHeight="1">
      <c r="A25" s="131" t="s">
        <v>113</v>
      </c>
      <c r="B25" s="122" t="s">
        <v>16</v>
      </c>
      <c r="C25" s="227">
        <v>3764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27">
        <v>3831539</v>
      </c>
      <c r="L25" s="227">
        <f t="shared" si="7"/>
        <v>3831539</v>
      </c>
      <c r="M25" s="227">
        <v>0</v>
      </c>
      <c r="N25" s="227">
        <f t="shared" si="8"/>
        <v>3835303</v>
      </c>
      <c r="O25" s="364"/>
      <c r="P25" s="364"/>
    </row>
    <row r="26" spans="1:16" s="81" customFormat="1" ht="18" customHeight="1">
      <c r="A26" s="131" t="s">
        <v>99</v>
      </c>
      <c r="B26" s="122" t="s">
        <v>143</v>
      </c>
      <c r="C26" s="227">
        <v>29589697</v>
      </c>
      <c r="D26" s="227">
        <v>0</v>
      </c>
      <c r="E26" s="22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f t="shared" si="7"/>
        <v>0</v>
      </c>
      <c r="M26" s="227">
        <v>0</v>
      </c>
      <c r="N26" s="227">
        <f t="shared" si="8"/>
        <v>29589697</v>
      </c>
      <c r="O26" s="364"/>
      <c r="P26" s="364"/>
    </row>
    <row r="27" spans="1:16" s="81" customFormat="1" ht="17.399999999999999" customHeight="1">
      <c r="A27" s="131" t="s">
        <v>100</v>
      </c>
      <c r="B27" s="122" t="s">
        <v>315</v>
      </c>
      <c r="C27" s="227">
        <v>3217669</v>
      </c>
      <c r="D27" s="227">
        <v>0</v>
      </c>
      <c r="E27" s="227">
        <v>12265549</v>
      </c>
      <c r="F27" s="227">
        <v>0</v>
      </c>
      <c r="G27" s="227">
        <v>0</v>
      </c>
      <c r="H27" s="227">
        <v>0</v>
      </c>
      <c r="I27" s="227">
        <v>0</v>
      </c>
      <c r="J27" s="227">
        <v>17328528</v>
      </c>
      <c r="K27" s="227">
        <v>0</v>
      </c>
      <c r="L27" s="227">
        <f t="shared" si="7"/>
        <v>29594077</v>
      </c>
      <c r="M27" s="227">
        <v>0</v>
      </c>
      <c r="N27" s="227">
        <f t="shared" si="8"/>
        <v>32811746</v>
      </c>
      <c r="O27" s="364"/>
      <c r="P27" s="364"/>
    </row>
    <row r="28" spans="1:16" s="81" customFormat="1" ht="18" customHeight="1">
      <c r="A28" s="131" t="s">
        <v>114</v>
      </c>
      <c r="B28" s="122" t="s">
        <v>144</v>
      </c>
      <c r="C28" s="227">
        <v>4675925</v>
      </c>
      <c r="D28" s="227">
        <v>0</v>
      </c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1192883</v>
      </c>
      <c r="K28" s="227">
        <v>1642849</v>
      </c>
      <c r="L28" s="227">
        <f t="shared" si="7"/>
        <v>2835732</v>
      </c>
      <c r="M28" s="227">
        <v>0</v>
      </c>
      <c r="N28" s="227">
        <f t="shared" si="8"/>
        <v>7511657</v>
      </c>
      <c r="O28" s="364"/>
      <c r="P28" s="364"/>
    </row>
    <row r="29" spans="1:16" s="81" customFormat="1" ht="18" customHeight="1">
      <c r="A29" s="656" t="s">
        <v>241</v>
      </c>
      <c r="B29" s="657"/>
      <c r="C29" s="228">
        <f>SUM(C23:C28)</f>
        <v>58772095</v>
      </c>
      <c r="D29" s="228">
        <f t="shared" ref="D29:J29" si="9">SUM(D23:D28)</f>
        <v>5685701</v>
      </c>
      <c r="E29" s="228">
        <f t="shared" si="9"/>
        <v>12265549</v>
      </c>
      <c r="F29" s="228">
        <f t="shared" si="9"/>
        <v>0</v>
      </c>
      <c r="G29" s="228">
        <f t="shared" si="9"/>
        <v>0</v>
      </c>
      <c r="H29" s="228">
        <f t="shared" si="9"/>
        <v>0</v>
      </c>
      <c r="I29" s="228">
        <f t="shared" si="9"/>
        <v>0</v>
      </c>
      <c r="J29" s="228">
        <f t="shared" si="9"/>
        <v>18521411</v>
      </c>
      <c r="K29" s="228">
        <f>SUM(K23:K28)</f>
        <v>11238565</v>
      </c>
      <c r="L29" s="228">
        <f t="shared" ref="L29:N29" si="10">SUM(L23:L28)</f>
        <v>42025525</v>
      </c>
      <c r="M29" s="228">
        <f t="shared" ref="M29" si="11">SUM(M23:M28)</f>
        <v>0</v>
      </c>
      <c r="N29" s="228">
        <f t="shared" si="10"/>
        <v>106483321</v>
      </c>
      <c r="O29" s="364"/>
      <c r="P29" s="364"/>
    </row>
    <row r="30" spans="1:16" s="81" customFormat="1" ht="18" customHeight="1">
      <c r="A30" s="131" t="s">
        <v>101</v>
      </c>
      <c r="B30" s="121" t="s">
        <v>178</v>
      </c>
      <c r="C30" s="227">
        <v>30216746</v>
      </c>
      <c r="D30" s="227">
        <v>0</v>
      </c>
      <c r="E30" s="227">
        <v>0</v>
      </c>
      <c r="F30" s="227">
        <v>0</v>
      </c>
      <c r="G30" s="227">
        <v>0</v>
      </c>
      <c r="H30" s="227">
        <v>13325109</v>
      </c>
      <c r="I30" s="227">
        <v>1516238</v>
      </c>
      <c r="J30" s="227">
        <v>0</v>
      </c>
      <c r="K30" s="227">
        <v>0</v>
      </c>
      <c r="L30" s="227">
        <f>SUM(E30:K30)</f>
        <v>14841347</v>
      </c>
      <c r="M30" s="227">
        <v>54845</v>
      </c>
      <c r="N30" s="227">
        <f>SUM(C30,D30,L30,M30)</f>
        <v>45112938</v>
      </c>
      <c r="O30" s="364"/>
      <c r="P30" s="364"/>
    </row>
    <row r="31" spans="1:16" s="81" customFormat="1" ht="18" customHeight="1">
      <c r="A31" s="131" t="s">
        <v>102</v>
      </c>
      <c r="B31" s="121" t="s">
        <v>115</v>
      </c>
      <c r="C31" s="227">
        <v>1986883</v>
      </c>
      <c r="D31" s="227">
        <v>0</v>
      </c>
      <c r="E31" s="227">
        <v>0</v>
      </c>
      <c r="F31" s="227">
        <v>0</v>
      </c>
      <c r="G31" s="227">
        <v>0</v>
      </c>
      <c r="H31" s="227">
        <v>1841216</v>
      </c>
      <c r="I31" s="227">
        <v>132417</v>
      </c>
      <c r="J31" s="227">
        <v>0</v>
      </c>
      <c r="K31" s="227">
        <v>0</v>
      </c>
      <c r="L31" s="227">
        <f>SUM(E31:K31)</f>
        <v>1973633</v>
      </c>
      <c r="M31" s="227">
        <v>8969</v>
      </c>
      <c r="N31" s="227">
        <f>SUM(C31,D31,L31,M31)</f>
        <v>3969485</v>
      </c>
      <c r="O31" s="364"/>
      <c r="P31" s="364"/>
    </row>
    <row r="32" spans="1:16" s="81" customFormat="1" ht="18" customHeight="1">
      <c r="A32" s="131" t="s">
        <v>103</v>
      </c>
      <c r="B32" s="121" t="s">
        <v>179</v>
      </c>
      <c r="C32" s="227">
        <v>2060387</v>
      </c>
      <c r="D32" s="227">
        <v>0</v>
      </c>
      <c r="E32" s="227">
        <v>0</v>
      </c>
      <c r="F32" s="227">
        <v>0</v>
      </c>
      <c r="G32" s="227">
        <v>0</v>
      </c>
      <c r="H32" s="227">
        <v>6925057</v>
      </c>
      <c r="I32" s="227">
        <v>0</v>
      </c>
      <c r="J32" s="227">
        <v>0</v>
      </c>
      <c r="K32" s="227">
        <v>0</v>
      </c>
      <c r="L32" s="227">
        <f>SUM(E32:K32)</f>
        <v>6925057</v>
      </c>
      <c r="M32" s="227">
        <v>15000</v>
      </c>
      <c r="N32" s="227">
        <f>SUM(C32,D32,L32,M32)</f>
        <v>9000444</v>
      </c>
      <c r="O32" s="364"/>
      <c r="P32" s="364"/>
    </row>
    <row r="33" spans="1:16" s="82" customFormat="1" ht="18" customHeight="1">
      <c r="A33" s="656" t="s">
        <v>572</v>
      </c>
      <c r="B33" s="657"/>
      <c r="C33" s="228">
        <f>SUM(C30:C32)</f>
        <v>34264016</v>
      </c>
      <c r="D33" s="228">
        <f t="shared" ref="D33:J33" si="12">SUM(D30:D32)</f>
        <v>0</v>
      </c>
      <c r="E33" s="228">
        <f t="shared" si="12"/>
        <v>0</v>
      </c>
      <c r="F33" s="228">
        <f t="shared" si="12"/>
        <v>0</v>
      </c>
      <c r="G33" s="228">
        <f t="shared" si="12"/>
        <v>0</v>
      </c>
      <c r="H33" s="228">
        <f t="shared" si="12"/>
        <v>22091382</v>
      </c>
      <c r="I33" s="228">
        <f t="shared" si="12"/>
        <v>1648655</v>
      </c>
      <c r="J33" s="228">
        <f t="shared" si="12"/>
        <v>0</v>
      </c>
      <c r="K33" s="228">
        <f>SUM(K30:K32)</f>
        <v>0</v>
      </c>
      <c r="L33" s="228">
        <f t="shared" ref="L33:N33" si="13">SUM(L30:L32)</f>
        <v>23740037</v>
      </c>
      <c r="M33" s="228">
        <f t="shared" si="13"/>
        <v>78814</v>
      </c>
      <c r="N33" s="228">
        <f t="shared" si="13"/>
        <v>58082867</v>
      </c>
      <c r="O33" s="364"/>
      <c r="P33" s="364"/>
    </row>
    <row r="34" spans="1:16" s="81" customFormat="1" ht="18" customHeight="1">
      <c r="A34" s="131" t="s">
        <v>104</v>
      </c>
      <c r="B34" s="134" t="s">
        <v>18</v>
      </c>
      <c r="C34" s="227">
        <v>13363685</v>
      </c>
      <c r="D34" s="227">
        <v>0</v>
      </c>
      <c r="E34" s="227">
        <v>7432449</v>
      </c>
      <c r="F34" s="227">
        <v>0</v>
      </c>
      <c r="G34" s="227">
        <v>1889724</v>
      </c>
      <c r="H34" s="227">
        <v>691927</v>
      </c>
      <c r="I34" s="227">
        <v>276543</v>
      </c>
      <c r="J34" s="227">
        <v>0</v>
      </c>
      <c r="K34" s="227">
        <v>625985</v>
      </c>
      <c r="L34" s="227">
        <f>SUM(E34:K34)</f>
        <v>10916628</v>
      </c>
      <c r="M34" s="227">
        <v>489614</v>
      </c>
      <c r="N34" s="227">
        <f>SUM(C34,D34,L34,M34)</f>
        <v>24769927</v>
      </c>
      <c r="O34" s="364"/>
      <c r="P34" s="364"/>
    </row>
    <row r="35" spans="1:16" s="81" customFormat="1" ht="18" customHeight="1">
      <c r="A35" s="131" t="s">
        <v>272</v>
      </c>
      <c r="B35" s="134" t="s">
        <v>19</v>
      </c>
      <c r="C35" s="227">
        <v>7148087</v>
      </c>
      <c r="D35" s="227">
        <v>0</v>
      </c>
      <c r="E35" s="227">
        <v>3595750</v>
      </c>
      <c r="F35" s="227">
        <v>0</v>
      </c>
      <c r="G35" s="227">
        <v>987849</v>
      </c>
      <c r="H35" s="227">
        <v>708407</v>
      </c>
      <c r="I35" s="227">
        <v>130266</v>
      </c>
      <c r="J35" s="227">
        <v>0</v>
      </c>
      <c r="K35" s="227">
        <v>102286</v>
      </c>
      <c r="L35" s="227">
        <f>SUM(E35:K35)</f>
        <v>5524558</v>
      </c>
      <c r="M35" s="227">
        <v>0</v>
      </c>
      <c r="N35" s="227">
        <f>SUM(C35,D35,L35,M35)</f>
        <v>12672645</v>
      </c>
      <c r="O35" s="364"/>
      <c r="P35" s="364"/>
    </row>
    <row r="36" spans="1:16" s="81" customFormat="1" ht="18" customHeight="1">
      <c r="A36" s="131" t="s">
        <v>273</v>
      </c>
      <c r="B36" s="134" t="s">
        <v>20</v>
      </c>
      <c r="C36" s="227">
        <v>148908</v>
      </c>
      <c r="D36" s="227">
        <v>0</v>
      </c>
      <c r="E36" s="227">
        <v>542160</v>
      </c>
      <c r="F36" s="227">
        <v>0</v>
      </c>
      <c r="G36" s="227">
        <v>72367</v>
      </c>
      <c r="H36" s="227">
        <v>112297</v>
      </c>
      <c r="I36" s="227">
        <v>10115</v>
      </c>
      <c r="J36" s="227">
        <v>0</v>
      </c>
      <c r="K36" s="227">
        <v>6008</v>
      </c>
      <c r="L36" s="227">
        <f>SUM(E36:K36)</f>
        <v>742947</v>
      </c>
      <c r="M36" s="227">
        <v>0</v>
      </c>
      <c r="N36" s="227">
        <f>SUM(C36,D36,L36,M36)</f>
        <v>891855</v>
      </c>
      <c r="O36" s="364"/>
      <c r="P36" s="364"/>
    </row>
    <row r="37" spans="1:16" s="81" customFormat="1" ht="18" customHeight="1">
      <c r="A37" s="131" t="s">
        <v>274</v>
      </c>
      <c r="B37" s="134" t="s">
        <v>21</v>
      </c>
      <c r="C37" s="227">
        <v>23829174</v>
      </c>
      <c r="D37" s="227">
        <v>0</v>
      </c>
      <c r="E37" s="227">
        <v>10860710</v>
      </c>
      <c r="F37" s="227">
        <v>0</v>
      </c>
      <c r="G37" s="227">
        <v>3166183</v>
      </c>
      <c r="H37" s="227">
        <v>1469034</v>
      </c>
      <c r="I37" s="227">
        <v>460781</v>
      </c>
      <c r="J37" s="227">
        <v>0</v>
      </c>
      <c r="K37" s="227">
        <v>690318</v>
      </c>
      <c r="L37" s="227">
        <f>SUM(E37:K37)</f>
        <v>16647026</v>
      </c>
      <c r="M37" s="227">
        <v>500000</v>
      </c>
      <c r="N37" s="227">
        <f>SUM(C37,D37,L37,M37)</f>
        <v>40976200</v>
      </c>
      <c r="O37" s="364"/>
      <c r="P37" s="364"/>
    </row>
    <row r="38" spans="1:16" s="82" customFormat="1" ht="18" customHeight="1">
      <c r="A38" s="656" t="s">
        <v>429</v>
      </c>
      <c r="B38" s="657"/>
      <c r="C38" s="228">
        <f>SUM(C34:C37)</f>
        <v>44489854</v>
      </c>
      <c r="D38" s="228">
        <f t="shared" ref="D38:J38" si="14">SUM(D34:D37)</f>
        <v>0</v>
      </c>
      <c r="E38" s="228">
        <f t="shared" si="14"/>
        <v>22431069</v>
      </c>
      <c r="F38" s="228">
        <f t="shared" si="14"/>
        <v>0</v>
      </c>
      <c r="G38" s="228">
        <f t="shared" si="14"/>
        <v>6116123</v>
      </c>
      <c r="H38" s="228">
        <f t="shared" si="14"/>
        <v>2981665</v>
      </c>
      <c r="I38" s="228">
        <f t="shared" si="14"/>
        <v>877705</v>
      </c>
      <c r="J38" s="228">
        <f t="shared" si="14"/>
        <v>0</v>
      </c>
      <c r="K38" s="228">
        <f>SUM(K34:K37)</f>
        <v>1424597</v>
      </c>
      <c r="L38" s="228">
        <f t="shared" ref="L38:N38" si="15">SUM(L34:L37)</f>
        <v>33831159</v>
      </c>
      <c r="M38" s="228">
        <f t="shared" si="15"/>
        <v>989614</v>
      </c>
      <c r="N38" s="228">
        <f t="shared" si="15"/>
        <v>79310627</v>
      </c>
      <c r="O38" s="364"/>
      <c r="P38" s="364"/>
    </row>
    <row r="39" spans="1:16" s="81" customFormat="1" ht="18" customHeight="1">
      <c r="A39" s="131" t="s">
        <v>105</v>
      </c>
      <c r="B39" s="132" t="s">
        <v>116</v>
      </c>
      <c r="C39" s="227">
        <v>22141622</v>
      </c>
      <c r="D39" s="227">
        <v>0</v>
      </c>
      <c r="E39" s="227">
        <v>6783051</v>
      </c>
      <c r="F39" s="227">
        <v>0</v>
      </c>
      <c r="G39" s="227">
        <v>2428468</v>
      </c>
      <c r="H39" s="227">
        <v>0</v>
      </c>
      <c r="I39" s="227">
        <v>282097</v>
      </c>
      <c r="J39" s="227">
        <v>0</v>
      </c>
      <c r="K39" s="227">
        <v>0</v>
      </c>
      <c r="L39" s="227">
        <f>SUM(E39:K39)</f>
        <v>9493616</v>
      </c>
      <c r="M39" s="227">
        <v>0</v>
      </c>
      <c r="N39" s="227">
        <f>SUM(C39,D39,L39,M39)</f>
        <v>31635238</v>
      </c>
      <c r="O39" s="364"/>
      <c r="P39" s="364"/>
    </row>
    <row r="40" spans="1:16" s="82" customFormat="1" ht="18" customHeight="1">
      <c r="A40" s="656" t="s">
        <v>428</v>
      </c>
      <c r="B40" s="657"/>
      <c r="C40" s="228">
        <f>SUM(C39:C39)</f>
        <v>22141622</v>
      </c>
      <c r="D40" s="228">
        <f t="shared" ref="D40:J40" si="16">SUM(D39:D39)</f>
        <v>0</v>
      </c>
      <c r="E40" s="228">
        <f t="shared" si="16"/>
        <v>6783051</v>
      </c>
      <c r="F40" s="228">
        <f t="shared" si="16"/>
        <v>0</v>
      </c>
      <c r="G40" s="228">
        <f t="shared" si="16"/>
        <v>2428468</v>
      </c>
      <c r="H40" s="228">
        <f t="shared" si="16"/>
        <v>0</v>
      </c>
      <c r="I40" s="228">
        <f t="shared" si="16"/>
        <v>282097</v>
      </c>
      <c r="J40" s="228">
        <f t="shared" si="16"/>
        <v>0</v>
      </c>
      <c r="K40" s="228">
        <f>SUM(K39:K39)</f>
        <v>0</v>
      </c>
      <c r="L40" s="228">
        <f t="shared" ref="L40:N40" si="17">SUM(L39:L39)</f>
        <v>9493616</v>
      </c>
      <c r="M40" s="228">
        <f t="shared" si="17"/>
        <v>0</v>
      </c>
      <c r="N40" s="228">
        <f t="shared" si="17"/>
        <v>31635238</v>
      </c>
      <c r="O40" s="364"/>
    </row>
    <row r="41" spans="1:16" s="82" customFormat="1" ht="16.2">
      <c r="A41" s="143"/>
      <c r="B41" s="143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30"/>
    </row>
    <row r="42" spans="1:16" s="82" customFormat="1" ht="15" customHeight="1" thickBot="1">
      <c r="A42" s="140" t="s">
        <v>247</v>
      </c>
      <c r="B42" s="231"/>
      <c r="C42" s="232">
        <f>SUM(C40,C38,C33,C29,C22,C9)</f>
        <v>1196296849</v>
      </c>
      <c r="D42" s="232">
        <f t="shared" ref="D42:J42" si="18">SUM(D40,D38,D33,D29,D22,D9)</f>
        <v>5685701</v>
      </c>
      <c r="E42" s="232">
        <f t="shared" si="18"/>
        <v>350108870</v>
      </c>
      <c r="F42" s="232">
        <f t="shared" si="18"/>
        <v>29531862</v>
      </c>
      <c r="G42" s="232">
        <f t="shared" si="18"/>
        <v>353044688</v>
      </c>
      <c r="H42" s="232">
        <f t="shared" si="18"/>
        <v>28985651</v>
      </c>
      <c r="I42" s="232">
        <f t="shared" si="18"/>
        <v>10589759</v>
      </c>
      <c r="J42" s="232">
        <f t="shared" si="18"/>
        <v>18521411</v>
      </c>
      <c r="K42" s="232">
        <f>SUM(K40,K38,K33,K29,K22,K9)</f>
        <v>80067174</v>
      </c>
      <c r="L42" s="232">
        <f t="shared" ref="L42:N42" si="19">SUM(L40,L38,L33,L29,L22,L9)</f>
        <v>870849415</v>
      </c>
      <c r="M42" s="232">
        <f t="shared" si="19"/>
        <v>7563605</v>
      </c>
      <c r="N42" s="232">
        <f t="shared" si="19"/>
        <v>2080395570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4.4">
      <c r="A44" s="60"/>
      <c r="B44" s="60"/>
      <c r="C44" s="9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53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C6" sqref="C6"/>
    </sheetView>
  </sheetViews>
  <sheetFormatPr defaultColWidth="9.109375" defaultRowHeight="15.6"/>
  <cols>
    <col min="1" max="1" width="7.6640625" style="161" customWidth="1"/>
    <col min="2" max="2" width="52.6640625" style="161" bestFit="1" customWidth="1"/>
    <col min="3" max="3" width="17.109375" style="164" bestFit="1" customWidth="1"/>
    <col min="4" max="4" width="13.6640625" style="164" bestFit="1" customWidth="1"/>
    <col min="5" max="5" width="16.44140625" style="164" bestFit="1" customWidth="1"/>
    <col min="6" max="9" width="15.109375" style="164" bestFit="1" customWidth="1"/>
    <col min="10" max="10" width="15" style="164" customWidth="1"/>
    <col min="11" max="11" width="15.109375" style="164" bestFit="1" customWidth="1"/>
    <col min="12" max="12" width="16.44140625" style="164" bestFit="1" customWidth="1"/>
    <col min="13" max="13" width="13.88671875" style="164" bestFit="1" customWidth="1"/>
    <col min="14" max="14" width="17.6640625" style="164" customWidth="1"/>
    <col min="15" max="16384" width="9.109375" style="161"/>
  </cols>
  <sheetData>
    <row r="1" spans="1:14" s="313" customFormat="1" ht="16.2">
      <c r="A1" s="209" t="s">
        <v>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>
      <c r="A2" s="210" t="s">
        <v>546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>
      <c r="A3" s="160" t="str">
        <f>'Schedule 1'!A3:L3</f>
        <v>Data Through August 31, 2019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>
      <c r="A4" s="233"/>
      <c r="B4" s="314"/>
      <c r="C4" s="314"/>
      <c r="D4" s="314"/>
      <c r="E4" s="314"/>
      <c r="F4" s="314"/>
      <c r="G4" s="314"/>
      <c r="H4" s="314"/>
      <c r="I4" s="315"/>
      <c r="J4" s="315"/>
      <c r="K4" s="314"/>
      <c r="L4" s="314"/>
      <c r="M4" s="314"/>
      <c r="N4" s="365"/>
    </row>
    <row r="5" spans="1:14">
      <c r="A5" s="234"/>
      <c r="B5" s="211"/>
      <c r="C5" s="213"/>
      <c r="D5" s="214"/>
      <c r="E5" s="655" t="s">
        <v>6</v>
      </c>
      <c r="F5" s="655"/>
      <c r="G5" s="655"/>
      <c r="H5" s="655"/>
      <c r="I5" s="655"/>
      <c r="J5" s="655"/>
      <c r="K5" s="655"/>
      <c r="L5" s="655"/>
      <c r="M5" s="213"/>
      <c r="N5" s="214"/>
    </row>
    <row r="6" spans="1:14" ht="32.4">
      <c r="A6" s="316"/>
      <c r="B6" s="317"/>
      <c r="C6" s="217" t="s">
        <v>4</v>
      </c>
      <c r="D6" s="318" t="s">
        <v>5</v>
      </c>
      <c r="E6" s="319" t="s">
        <v>203</v>
      </c>
      <c r="F6" s="320" t="s">
        <v>430</v>
      </c>
      <c r="G6" s="320" t="s">
        <v>198</v>
      </c>
      <c r="H6" s="320" t="s">
        <v>204</v>
      </c>
      <c r="I6" s="320" t="s">
        <v>205</v>
      </c>
      <c r="J6" s="320" t="s">
        <v>330</v>
      </c>
      <c r="K6" s="119" t="s">
        <v>199</v>
      </c>
      <c r="L6" s="321" t="s">
        <v>145</v>
      </c>
      <c r="M6" s="221" t="s">
        <v>146</v>
      </c>
      <c r="N6" s="222" t="s">
        <v>147</v>
      </c>
    </row>
    <row r="7" spans="1:14" ht="8.25" customHeight="1">
      <c r="A7" s="335"/>
      <c r="B7" s="335"/>
      <c r="C7" s="336"/>
      <c r="D7" s="336"/>
      <c r="E7" s="337"/>
      <c r="F7" s="337"/>
      <c r="G7" s="337"/>
      <c r="H7" s="337"/>
      <c r="I7" s="337"/>
      <c r="J7" s="337"/>
      <c r="K7" s="338"/>
      <c r="L7" s="338"/>
      <c r="M7" s="338"/>
      <c r="N7" s="338"/>
    </row>
    <row r="8" spans="1:14" s="155" customFormat="1" ht="18" customHeight="1">
      <c r="A8" s="132" t="s">
        <v>22</v>
      </c>
      <c r="B8" s="132" t="s">
        <v>7</v>
      </c>
      <c r="C8" s="322">
        <v>1124826</v>
      </c>
      <c r="D8" s="322">
        <v>0</v>
      </c>
      <c r="E8" s="322">
        <v>0</v>
      </c>
      <c r="F8" s="322">
        <v>0</v>
      </c>
      <c r="G8" s="322">
        <v>0</v>
      </c>
      <c r="H8" s="322">
        <v>0</v>
      </c>
      <c r="I8" s="322">
        <v>0</v>
      </c>
      <c r="J8" s="322">
        <v>0</v>
      </c>
      <c r="K8" s="322">
        <v>0</v>
      </c>
      <c r="L8" s="322">
        <f>SUM(E8:K8)</f>
        <v>0</v>
      </c>
      <c r="M8" s="322">
        <v>0</v>
      </c>
      <c r="N8" s="322">
        <f>SUM(C8,D8,L8,M8)</f>
        <v>1124826</v>
      </c>
    </row>
    <row r="9" spans="1:14" s="155" customFormat="1" ht="18" customHeight="1">
      <c r="A9" s="656" t="s">
        <v>239</v>
      </c>
      <c r="B9" s="657"/>
      <c r="C9" s="323">
        <f t="shared" ref="C9:K9" si="0">C8</f>
        <v>1124826</v>
      </c>
      <c r="D9" s="323">
        <f t="shared" si="0"/>
        <v>0</v>
      </c>
      <c r="E9" s="323">
        <f t="shared" si="0"/>
        <v>0</v>
      </c>
      <c r="F9" s="323">
        <f t="shared" si="0"/>
        <v>0</v>
      </c>
      <c r="G9" s="323">
        <f t="shared" si="0"/>
        <v>0</v>
      </c>
      <c r="H9" s="323">
        <f t="shared" si="0"/>
        <v>0</v>
      </c>
      <c r="I9" s="323">
        <f t="shared" si="0"/>
        <v>0</v>
      </c>
      <c r="J9" s="323">
        <f t="shared" si="0"/>
        <v>0</v>
      </c>
      <c r="K9" s="323">
        <f t="shared" si="0"/>
        <v>0</v>
      </c>
      <c r="L9" s="323">
        <f t="shared" ref="L9:N9" si="1">L8</f>
        <v>0</v>
      </c>
      <c r="M9" s="323">
        <f>M8</f>
        <v>0</v>
      </c>
      <c r="N9" s="323">
        <f t="shared" si="1"/>
        <v>1124826</v>
      </c>
    </row>
    <row r="10" spans="1:14" s="155" customFormat="1" ht="18" customHeight="1">
      <c r="A10" s="132" t="s">
        <v>23</v>
      </c>
      <c r="B10" s="132" t="s">
        <v>8</v>
      </c>
      <c r="C10" s="322">
        <v>6535507</v>
      </c>
      <c r="D10" s="322">
        <v>0</v>
      </c>
      <c r="E10" s="322">
        <v>0</v>
      </c>
      <c r="F10" s="322">
        <v>0</v>
      </c>
      <c r="G10" s="322">
        <v>0</v>
      </c>
      <c r="H10" s="322">
        <v>0</v>
      </c>
      <c r="I10" s="322">
        <v>0</v>
      </c>
      <c r="J10" s="322">
        <v>0</v>
      </c>
      <c r="K10" s="322">
        <v>345586</v>
      </c>
      <c r="L10" s="322">
        <f t="shared" ref="L10:L21" si="2">SUM(E10:K10)</f>
        <v>345586</v>
      </c>
      <c r="M10" s="322">
        <v>0</v>
      </c>
      <c r="N10" s="322">
        <f t="shared" ref="N10:N21" si="3">SUM(C10,D10,L10,M10)</f>
        <v>6881093</v>
      </c>
    </row>
    <row r="11" spans="1:14" s="155" customFormat="1" ht="18" customHeight="1">
      <c r="A11" s="132" t="s">
        <v>24</v>
      </c>
      <c r="B11" s="132" t="s">
        <v>9</v>
      </c>
      <c r="C11" s="322">
        <v>3306716</v>
      </c>
      <c r="D11" s="322">
        <v>0</v>
      </c>
      <c r="E11" s="322">
        <v>0</v>
      </c>
      <c r="F11" s="322">
        <v>0</v>
      </c>
      <c r="G11" s="322">
        <v>0</v>
      </c>
      <c r="H11" s="322">
        <v>0</v>
      </c>
      <c r="I11" s="322">
        <v>0</v>
      </c>
      <c r="J11" s="322">
        <v>0</v>
      </c>
      <c r="K11" s="322">
        <v>564314</v>
      </c>
      <c r="L11" s="322">
        <f t="shared" si="2"/>
        <v>564314</v>
      </c>
      <c r="M11" s="322">
        <v>0</v>
      </c>
      <c r="N11" s="322">
        <f t="shared" si="3"/>
        <v>3871030</v>
      </c>
    </row>
    <row r="12" spans="1:14" s="155" customFormat="1" ht="18" customHeight="1">
      <c r="A12" s="132" t="s">
        <v>25</v>
      </c>
      <c r="B12" s="132" t="s">
        <v>170</v>
      </c>
      <c r="C12" s="322">
        <v>3260069</v>
      </c>
      <c r="D12" s="322">
        <v>0</v>
      </c>
      <c r="E12" s="322">
        <v>0</v>
      </c>
      <c r="F12" s="322">
        <v>0</v>
      </c>
      <c r="G12" s="322">
        <v>-368827</v>
      </c>
      <c r="H12" s="322">
        <v>0</v>
      </c>
      <c r="I12" s="322">
        <v>0</v>
      </c>
      <c r="J12" s="322">
        <v>0</v>
      </c>
      <c r="K12" s="322">
        <v>0</v>
      </c>
      <c r="L12" s="322">
        <f t="shared" si="2"/>
        <v>-368827</v>
      </c>
      <c r="M12" s="322">
        <v>0</v>
      </c>
      <c r="N12" s="322">
        <f t="shared" si="3"/>
        <v>2891242</v>
      </c>
    </row>
    <row r="13" spans="1:14" s="155" customFormat="1" ht="18" customHeight="1">
      <c r="A13" s="132" t="s">
        <v>26</v>
      </c>
      <c r="B13" s="132" t="s">
        <v>171</v>
      </c>
      <c r="C13" s="322">
        <v>0</v>
      </c>
      <c r="D13" s="322">
        <v>0</v>
      </c>
      <c r="E13" s="322">
        <v>0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f t="shared" si="2"/>
        <v>0</v>
      </c>
      <c r="M13" s="322">
        <v>0</v>
      </c>
      <c r="N13" s="322">
        <f t="shared" si="3"/>
        <v>0</v>
      </c>
    </row>
    <row r="14" spans="1:14" s="155" customFormat="1" ht="18" customHeight="1">
      <c r="A14" s="132" t="s">
        <v>27</v>
      </c>
      <c r="B14" s="132" t="s">
        <v>172</v>
      </c>
      <c r="C14" s="322">
        <v>0</v>
      </c>
      <c r="D14" s="322">
        <v>0</v>
      </c>
      <c r="E14" s="322">
        <v>0</v>
      </c>
      <c r="F14" s="322"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f t="shared" si="2"/>
        <v>0</v>
      </c>
      <c r="M14" s="322">
        <v>0</v>
      </c>
      <c r="N14" s="322">
        <f t="shared" si="3"/>
        <v>0</v>
      </c>
    </row>
    <row r="15" spans="1:14" s="155" customFormat="1" ht="18" customHeight="1">
      <c r="A15" s="132" t="s">
        <v>106</v>
      </c>
      <c r="B15" s="132" t="s">
        <v>11</v>
      </c>
      <c r="C15" s="322">
        <v>0</v>
      </c>
      <c r="D15" s="322">
        <v>0</v>
      </c>
      <c r="E15" s="322">
        <v>0</v>
      </c>
      <c r="F15" s="322">
        <v>0</v>
      </c>
      <c r="G15" s="322">
        <v>0</v>
      </c>
      <c r="H15" s="322">
        <v>0</v>
      </c>
      <c r="I15" s="322">
        <v>0</v>
      </c>
      <c r="J15" s="322">
        <v>0</v>
      </c>
      <c r="K15" s="322">
        <v>0</v>
      </c>
      <c r="L15" s="322">
        <f t="shared" si="2"/>
        <v>0</v>
      </c>
      <c r="M15" s="322">
        <v>0</v>
      </c>
      <c r="N15" s="322">
        <f t="shared" si="3"/>
        <v>0</v>
      </c>
    </row>
    <row r="16" spans="1:14" s="155" customFormat="1" ht="18" customHeight="1">
      <c r="A16" s="132" t="s">
        <v>107</v>
      </c>
      <c r="B16" s="132" t="s">
        <v>173</v>
      </c>
      <c r="C16" s="322">
        <v>0</v>
      </c>
      <c r="D16" s="322">
        <v>0</v>
      </c>
      <c r="E16" s="322">
        <v>0</v>
      </c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f t="shared" si="2"/>
        <v>0</v>
      </c>
      <c r="M16" s="322">
        <v>0</v>
      </c>
      <c r="N16" s="322">
        <f t="shared" si="3"/>
        <v>0</v>
      </c>
    </row>
    <row r="17" spans="1:14" s="155" customFormat="1" ht="18" customHeight="1">
      <c r="A17" s="132" t="s">
        <v>108</v>
      </c>
      <c r="B17" s="132" t="s">
        <v>174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f t="shared" si="2"/>
        <v>0</v>
      </c>
      <c r="M17" s="322">
        <v>0</v>
      </c>
      <c r="N17" s="322">
        <f t="shared" si="3"/>
        <v>0</v>
      </c>
    </row>
    <row r="18" spans="1:14" s="155" customFormat="1" ht="18" customHeight="1">
      <c r="A18" s="132" t="s">
        <v>109</v>
      </c>
      <c r="B18" s="132" t="s">
        <v>175</v>
      </c>
      <c r="C18" s="322">
        <v>-6365291</v>
      </c>
      <c r="D18" s="322">
        <v>0</v>
      </c>
      <c r="E18" s="322">
        <v>0</v>
      </c>
      <c r="F18" s="322">
        <v>0</v>
      </c>
      <c r="G18" s="322">
        <v>7980285</v>
      </c>
      <c r="H18" s="322">
        <v>0</v>
      </c>
      <c r="I18" s="322">
        <v>0</v>
      </c>
      <c r="J18" s="322">
        <v>0</v>
      </c>
      <c r="K18" s="322">
        <v>0</v>
      </c>
      <c r="L18" s="322">
        <f t="shared" si="2"/>
        <v>7980285</v>
      </c>
      <c r="M18" s="322">
        <v>282500</v>
      </c>
      <c r="N18" s="322">
        <f t="shared" si="3"/>
        <v>1897494</v>
      </c>
    </row>
    <row r="19" spans="1:14" s="155" customFormat="1" ht="18" customHeight="1">
      <c r="A19" s="132" t="s">
        <v>110</v>
      </c>
      <c r="B19" s="132" t="s">
        <v>176</v>
      </c>
      <c r="C19" s="322">
        <v>-248825</v>
      </c>
      <c r="D19" s="322">
        <v>0</v>
      </c>
      <c r="E19" s="322">
        <v>0</v>
      </c>
      <c r="F19" s="322">
        <v>0</v>
      </c>
      <c r="G19" s="322">
        <v>255469</v>
      </c>
      <c r="H19" s="322">
        <v>0</v>
      </c>
      <c r="I19" s="322">
        <v>0</v>
      </c>
      <c r="J19" s="322">
        <v>0</v>
      </c>
      <c r="K19" s="322">
        <v>0</v>
      </c>
      <c r="L19" s="322">
        <f t="shared" si="2"/>
        <v>255469</v>
      </c>
      <c r="M19" s="322">
        <v>0</v>
      </c>
      <c r="N19" s="322">
        <f t="shared" si="3"/>
        <v>6644</v>
      </c>
    </row>
    <row r="20" spans="1:14" s="155" customFormat="1" ht="18" customHeight="1">
      <c r="A20" s="132" t="s">
        <v>111</v>
      </c>
      <c r="B20" s="132" t="s">
        <v>177</v>
      </c>
      <c r="C20" s="322">
        <v>4284878</v>
      </c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f t="shared" si="2"/>
        <v>0</v>
      </c>
      <c r="M20" s="322">
        <v>0</v>
      </c>
      <c r="N20" s="322">
        <f t="shared" si="3"/>
        <v>4284878</v>
      </c>
    </row>
    <row r="21" spans="1:14" s="155" customFormat="1" ht="18" customHeight="1">
      <c r="A21" s="132" t="s">
        <v>271</v>
      </c>
      <c r="B21" s="132" t="s">
        <v>335</v>
      </c>
      <c r="C21" s="322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f t="shared" si="2"/>
        <v>0</v>
      </c>
      <c r="M21" s="322">
        <v>0</v>
      </c>
      <c r="N21" s="322">
        <f t="shared" si="3"/>
        <v>0</v>
      </c>
    </row>
    <row r="22" spans="1:14" s="155" customFormat="1" ht="18" customHeight="1">
      <c r="A22" s="658" t="s">
        <v>248</v>
      </c>
      <c r="B22" s="659"/>
      <c r="C22" s="323">
        <f t="shared" ref="C22:N22" si="4">SUM(C10:C21)</f>
        <v>10773054</v>
      </c>
      <c r="D22" s="323">
        <f t="shared" ref="D22:F22" si="5">SUM(D10:D21)</f>
        <v>0</v>
      </c>
      <c r="E22" s="323">
        <f t="shared" si="5"/>
        <v>0</v>
      </c>
      <c r="F22" s="323">
        <f t="shared" si="5"/>
        <v>0</v>
      </c>
      <c r="G22" s="323">
        <f t="shared" ref="G22:K22" si="6">SUM(G10:G21)</f>
        <v>7866927</v>
      </c>
      <c r="H22" s="323">
        <f t="shared" si="6"/>
        <v>0</v>
      </c>
      <c r="I22" s="323">
        <f t="shared" si="6"/>
        <v>0</v>
      </c>
      <c r="J22" s="323">
        <f t="shared" si="6"/>
        <v>0</v>
      </c>
      <c r="K22" s="323">
        <f t="shared" si="6"/>
        <v>909900</v>
      </c>
      <c r="L22" s="323">
        <f>SUM(L10:L21)</f>
        <v>8776827</v>
      </c>
      <c r="M22" s="323">
        <f t="shared" ref="M22" si="7">SUM(M10:M21)</f>
        <v>282500</v>
      </c>
      <c r="N22" s="323">
        <f t="shared" si="4"/>
        <v>19832381</v>
      </c>
    </row>
    <row r="23" spans="1:14" s="155" customFormat="1" ht="18" customHeight="1">
      <c r="A23" s="132" t="s">
        <v>28</v>
      </c>
      <c r="B23" s="132" t="s">
        <v>14</v>
      </c>
      <c r="C23" s="322">
        <v>0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f t="shared" ref="L23:L28" si="8">SUM(E23:K23)</f>
        <v>0</v>
      </c>
      <c r="M23" s="322">
        <v>0</v>
      </c>
      <c r="N23" s="322">
        <f t="shared" ref="N23:N28" si="9">SUM(C23,D23,L23,M23)</f>
        <v>0</v>
      </c>
    </row>
    <row r="24" spans="1:14" s="155" customFormat="1" ht="18" customHeight="1">
      <c r="A24" s="132" t="s">
        <v>112</v>
      </c>
      <c r="B24" s="132" t="s">
        <v>15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22">
        <f t="shared" si="8"/>
        <v>0</v>
      </c>
      <c r="M24" s="322">
        <v>0</v>
      </c>
      <c r="N24" s="322">
        <f t="shared" si="9"/>
        <v>0</v>
      </c>
    </row>
    <row r="25" spans="1:14" s="155" customFormat="1" ht="18" customHeight="1">
      <c r="A25" s="132" t="s">
        <v>113</v>
      </c>
      <c r="B25" s="132" t="s">
        <v>16</v>
      </c>
      <c r="C25" s="322">
        <v>0</v>
      </c>
      <c r="D25" s="322">
        <v>0</v>
      </c>
      <c r="E25" s="322">
        <v>0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f t="shared" si="8"/>
        <v>0</v>
      </c>
      <c r="M25" s="322">
        <v>0</v>
      </c>
      <c r="N25" s="322">
        <f t="shared" si="9"/>
        <v>0</v>
      </c>
    </row>
    <row r="26" spans="1:14" s="155" customFormat="1" ht="18" customHeight="1">
      <c r="A26" s="132" t="s">
        <v>99</v>
      </c>
      <c r="B26" s="132" t="s">
        <v>143</v>
      </c>
      <c r="C26" s="322">
        <v>0</v>
      </c>
      <c r="D26" s="322">
        <v>0</v>
      </c>
      <c r="E26" s="322">
        <v>0</v>
      </c>
      <c r="F26" s="322">
        <v>0</v>
      </c>
      <c r="G26" s="322">
        <v>0</v>
      </c>
      <c r="H26" s="322">
        <v>0</v>
      </c>
      <c r="I26" s="322">
        <v>0</v>
      </c>
      <c r="J26" s="322">
        <v>0</v>
      </c>
      <c r="K26" s="322">
        <v>0</v>
      </c>
      <c r="L26" s="322">
        <f t="shared" si="8"/>
        <v>0</v>
      </c>
      <c r="M26" s="322">
        <v>0</v>
      </c>
      <c r="N26" s="322">
        <f t="shared" si="9"/>
        <v>0</v>
      </c>
    </row>
    <row r="27" spans="1:14" s="155" customFormat="1" ht="18" customHeight="1">
      <c r="A27" s="132" t="s">
        <v>100</v>
      </c>
      <c r="B27" s="132" t="s">
        <v>315</v>
      </c>
      <c r="C27" s="322">
        <v>0</v>
      </c>
      <c r="D27" s="322">
        <v>0</v>
      </c>
      <c r="E27" s="322">
        <v>0</v>
      </c>
      <c r="F27" s="322">
        <v>0</v>
      </c>
      <c r="G27" s="322">
        <v>0</v>
      </c>
      <c r="H27" s="322">
        <v>0</v>
      </c>
      <c r="I27" s="322">
        <v>0</v>
      </c>
      <c r="J27" s="322">
        <v>0</v>
      </c>
      <c r="K27" s="322">
        <v>0</v>
      </c>
      <c r="L27" s="322">
        <f t="shared" si="8"/>
        <v>0</v>
      </c>
      <c r="M27" s="322">
        <v>0</v>
      </c>
      <c r="N27" s="322">
        <f t="shared" si="9"/>
        <v>0</v>
      </c>
    </row>
    <row r="28" spans="1:14" s="155" customFormat="1" ht="18" customHeight="1">
      <c r="A28" s="132" t="s">
        <v>114</v>
      </c>
      <c r="B28" s="132" t="s">
        <v>144</v>
      </c>
      <c r="C28" s="322">
        <v>0</v>
      </c>
      <c r="D28" s="322">
        <v>0</v>
      </c>
      <c r="E28" s="322">
        <v>0</v>
      </c>
      <c r="F28" s="322">
        <v>0</v>
      </c>
      <c r="G28" s="322">
        <v>0</v>
      </c>
      <c r="H28" s="322">
        <v>0</v>
      </c>
      <c r="I28" s="322">
        <v>0</v>
      </c>
      <c r="J28" s="322">
        <v>0</v>
      </c>
      <c r="K28" s="322">
        <v>0</v>
      </c>
      <c r="L28" s="322">
        <f t="shared" si="8"/>
        <v>0</v>
      </c>
      <c r="M28" s="322">
        <v>0</v>
      </c>
      <c r="N28" s="322">
        <f t="shared" si="9"/>
        <v>0</v>
      </c>
    </row>
    <row r="29" spans="1:14" s="155" customFormat="1" ht="18" customHeight="1">
      <c r="A29" s="658" t="s">
        <v>249</v>
      </c>
      <c r="B29" s="659"/>
      <c r="C29" s="323">
        <f t="shared" ref="C29:K29" si="10">SUM(C23:C28)</f>
        <v>0</v>
      </c>
      <c r="D29" s="323">
        <f t="shared" si="10"/>
        <v>0</v>
      </c>
      <c r="E29" s="323">
        <f t="shared" si="10"/>
        <v>0</v>
      </c>
      <c r="F29" s="323">
        <f t="shared" si="10"/>
        <v>0</v>
      </c>
      <c r="G29" s="323">
        <f t="shared" si="10"/>
        <v>0</v>
      </c>
      <c r="H29" s="323">
        <f t="shared" si="10"/>
        <v>0</v>
      </c>
      <c r="I29" s="323">
        <f t="shared" si="10"/>
        <v>0</v>
      </c>
      <c r="J29" s="323">
        <f t="shared" si="10"/>
        <v>0</v>
      </c>
      <c r="K29" s="323">
        <f t="shared" si="10"/>
        <v>0</v>
      </c>
      <c r="L29" s="323">
        <f t="shared" ref="L29:N29" si="11">SUM(L23:L28)</f>
        <v>0</v>
      </c>
      <c r="M29" s="323">
        <f>SUM(M23:M28)</f>
        <v>0</v>
      </c>
      <c r="N29" s="323">
        <f t="shared" si="11"/>
        <v>0</v>
      </c>
    </row>
    <row r="30" spans="1:14" s="155" customFormat="1" ht="18" customHeight="1">
      <c r="A30" s="132" t="s">
        <v>101</v>
      </c>
      <c r="B30" s="132" t="s">
        <v>17</v>
      </c>
      <c r="C30" s="322">
        <v>2187370</v>
      </c>
      <c r="D30" s="322">
        <v>0</v>
      </c>
      <c r="E30" s="322">
        <v>0</v>
      </c>
      <c r="F30" s="322">
        <v>0</v>
      </c>
      <c r="G30" s="322">
        <v>0</v>
      </c>
      <c r="H30" s="322">
        <v>0</v>
      </c>
      <c r="I30" s="322">
        <v>0</v>
      </c>
      <c r="J30" s="322">
        <v>0</v>
      </c>
      <c r="K30" s="322">
        <v>0</v>
      </c>
      <c r="L30" s="322">
        <f>SUM(E30:K30)</f>
        <v>0</v>
      </c>
      <c r="M30" s="322">
        <v>0</v>
      </c>
      <c r="N30" s="322">
        <f t="shared" ref="N30:N39" si="12">SUM(C30,D30,L30,M30)</f>
        <v>2187370</v>
      </c>
    </row>
    <row r="31" spans="1:14" s="155" customFormat="1" ht="18" customHeight="1">
      <c r="A31" s="132" t="s">
        <v>102</v>
      </c>
      <c r="B31" s="132" t="s">
        <v>115</v>
      </c>
      <c r="C31" s="322">
        <v>520962</v>
      </c>
      <c r="D31" s="322">
        <v>0</v>
      </c>
      <c r="E31" s="322">
        <v>0</v>
      </c>
      <c r="F31" s="322">
        <v>0</v>
      </c>
      <c r="G31" s="322">
        <v>0</v>
      </c>
      <c r="H31" s="322">
        <v>0</v>
      </c>
      <c r="I31" s="322">
        <v>0</v>
      </c>
      <c r="J31" s="322">
        <v>0</v>
      </c>
      <c r="K31" s="322">
        <v>0</v>
      </c>
      <c r="L31" s="322">
        <f>SUM(E31:K31)</f>
        <v>0</v>
      </c>
      <c r="M31" s="322">
        <v>16031</v>
      </c>
      <c r="N31" s="322">
        <f t="shared" si="12"/>
        <v>536993</v>
      </c>
    </row>
    <row r="32" spans="1:14" s="155" customFormat="1" ht="18" customHeight="1">
      <c r="A32" s="132" t="s">
        <v>103</v>
      </c>
      <c r="B32" s="122" t="s">
        <v>179</v>
      </c>
      <c r="C32" s="322">
        <v>414374</v>
      </c>
      <c r="D32" s="322">
        <v>0</v>
      </c>
      <c r="E32" s="322">
        <v>0</v>
      </c>
      <c r="F32" s="322">
        <v>0</v>
      </c>
      <c r="G32" s="322">
        <v>0</v>
      </c>
      <c r="H32" s="322">
        <v>0</v>
      </c>
      <c r="I32" s="322">
        <v>0</v>
      </c>
      <c r="J32" s="322">
        <v>0</v>
      </c>
      <c r="K32" s="322">
        <v>0</v>
      </c>
      <c r="L32" s="322">
        <f>SUM(E32:K32)</f>
        <v>0</v>
      </c>
      <c r="M32" s="322">
        <v>0</v>
      </c>
      <c r="N32" s="322">
        <f t="shared" si="12"/>
        <v>414374</v>
      </c>
    </row>
    <row r="33" spans="1:14" s="324" customFormat="1" ht="18" customHeight="1">
      <c r="A33" s="658" t="s">
        <v>250</v>
      </c>
      <c r="B33" s="659"/>
      <c r="C33" s="323">
        <f t="shared" ref="C33:K33" si="13">SUM(C30:C32)</f>
        <v>3122706</v>
      </c>
      <c r="D33" s="323">
        <f t="shared" si="13"/>
        <v>0</v>
      </c>
      <c r="E33" s="323">
        <f t="shared" si="13"/>
        <v>0</v>
      </c>
      <c r="F33" s="323">
        <f t="shared" si="13"/>
        <v>0</v>
      </c>
      <c r="G33" s="323">
        <f t="shared" si="13"/>
        <v>0</v>
      </c>
      <c r="H33" s="323">
        <f t="shared" si="13"/>
        <v>0</v>
      </c>
      <c r="I33" s="323">
        <f t="shared" si="13"/>
        <v>0</v>
      </c>
      <c r="J33" s="323">
        <f t="shared" si="13"/>
        <v>0</v>
      </c>
      <c r="K33" s="323">
        <f t="shared" si="13"/>
        <v>0</v>
      </c>
      <c r="L33" s="323">
        <f t="shared" ref="L33:N33" si="14">SUM(L30:L32)</f>
        <v>0</v>
      </c>
      <c r="M33" s="323">
        <f>SUM(M30:M32)</f>
        <v>16031</v>
      </c>
      <c r="N33" s="323">
        <f t="shared" si="14"/>
        <v>3138737</v>
      </c>
    </row>
    <row r="34" spans="1:14" s="324" customFormat="1" ht="18" customHeight="1">
      <c r="A34" s="145" t="s">
        <v>104</v>
      </c>
      <c r="B34" s="325" t="s">
        <v>18</v>
      </c>
      <c r="C34" s="322">
        <v>1516246</v>
      </c>
      <c r="D34" s="322">
        <v>0</v>
      </c>
      <c r="E34" s="322">
        <v>0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f>SUM(E34:K34)</f>
        <v>0</v>
      </c>
      <c r="M34" s="322">
        <v>0</v>
      </c>
      <c r="N34" s="322">
        <f t="shared" si="12"/>
        <v>1516246</v>
      </c>
    </row>
    <row r="35" spans="1:14" s="324" customFormat="1" ht="18" customHeight="1">
      <c r="A35" s="145" t="s">
        <v>272</v>
      </c>
      <c r="B35" s="325" t="s">
        <v>19</v>
      </c>
      <c r="C35" s="322">
        <v>510272</v>
      </c>
      <c r="D35" s="322">
        <v>0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f>SUM(E35:K35)</f>
        <v>0</v>
      </c>
      <c r="M35" s="322">
        <v>61435</v>
      </c>
      <c r="N35" s="322">
        <f>SUM(C35,D35,L35,M35)</f>
        <v>571707</v>
      </c>
    </row>
    <row r="36" spans="1:14" s="324" customFormat="1" ht="18" customHeight="1">
      <c r="A36" s="145" t="s">
        <v>273</v>
      </c>
      <c r="B36" s="325" t="s">
        <v>20</v>
      </c>
      <c r="C36" s="322">
        <v>138348</v>
      </c>
      <c r="D36" s="322">
        <v>0</v>
      </c>
      <c r="E36" s="322">
        <v>68045</v>
      </c>
      <c r="F36" s="322">
        <v>0</v>
      </c>
      <c r="G36" s="322">
        <v>0</v>
      </c>
      <c r="H36" s="322">
        <v>0</v>
      </c>
      <c r="I36" s="322">
        <v>0</v>
      </c>
      <c r="J36" s="322">
        <v>0</v>
      </c>
      <c r="K36" s="322">
        <v>0</v>
      </c>
      <c r="L36" s="322">
        <f>SUM(E36:K36)</f>
        <v>68045</v>
      </c>
      <c r="M36" s="322">
        <v>0</v>
      </c>
      <c r="N36" s="322">
        <f>SUM(C36,D36,L36,M36)</f>
        <v>206393</v>
      </c>
    </row>
    <row r="37" spans="1:14" s="324" customFormat="1" ht="18" customHeight="1">
      <c r="A37" s="145" t="s">
        <v>274</v>
      </c>
      <c r="B37" s="325" t="s">
        <v>21</v>
      </c>
      <c r="C37" s="322">
        <v>3211271</v>
      </c>
      <c r="D37" s="322">
        <v>0</v>
      </c>
      <c r="E37" s="322">
        <v>0</v>
      </c>
      <c r="F37" s="322">
        <v>0</v>
      </c>
      <c r="G37" s="322">
        <v>0</v>
      </c>
      <c r="H37" s="322">
        <v>0</v>
      </c>
      <c r="I37" s="322">
        <v>0</v>
      </c>
      <c r="J37" s="322">
        <v>0</v>
      </c>
      <c r="K37" s="322">
        <v>0</v>
      </c>
      <c r="L37" s="322">
        <f>SUM(E37:K37)</f>
        <v>0</v>
      </c>
      <c r="M37" s="322">
        <v>0</v>
      </c>
      <c r="N37" s="322">
        <f>SUM(C37,D37,L37,M37)</f>
        <v>3211271</v>
      </c>
    </row>
    <row r="38" spans="1:14" s="324" customFormat="1" ht="18" customHeight="1">
      <c r="A38" s="656" t="s">
        <v>429</v>
      </c>
      <c r="B38" s="657"/>
      <c r="C38" s="323">
        <f t="shared" ref="C38:K38" si="15">SUM(C34:C37)</f>
        <v>5376137</v>
      </c>
      <c r="D38" s="323">
        <f t="shared" si="15"/>
        <v>0</v>
      </c>
      <c r="E38" s="323">
        <f t="shared" si="15"/>
        <v>68045</v>
      </c>
      <c r="F38" s="323">
        <f t="shared" si="15"/>
        <v>0</v>
      </c>
      <c r="G38" s="323">
        <f t="shared" si="15"/>
        <v>0</v>
      </c>
      <c r="H38" s="323">
        <f t="shared" si="15"/>
        <v>0</v>
      </c>
      <c r="I38" s="323">
        <f t="shared" si="15"/>
        <v>0</v>
      </c>
      <c r="J38" s="323">
        <f t="shared" si="15"/>
        <v>0</v>
      </c>
      <c r="K38" s="323">
        <f t="shared" si="15"/>
        <v>0</v>
      </c>
      <c r="L38" s="323">
        <f t="shared" ref="L38:N38" si="16">SUM(L34:L37)</f>
        <v>68045</v>
      </c>
      <c r="M38" s="323">
        <f>SUM(M34:M37)</f>
        <v>61435</v>
      </c>
      <c r="N38" s="323">
        <f t="shared" si="16"/>
        <v>5505617</v>
      </c>
    </row>
    <row r="39" spans="1:14" s="155" customFormat="1" ht="18" customHeight="1">
      <c r="A39" s="131" t="s">
        <v>105</v>
      </c>
      <c r="B39" s="134" t="s">
        <v>116</v>
      </c>
      <c r="C39" s="322">
        <v>4788051</v>
      </c>
      <c r="D39" s="322">
        <v>0</v>
      </c>
      <c r="E39" s="322">
        <v>170160</v>
      </c>
      <c r="F39" s="322">
        <v>0</v>
      </c>
      <c r="G39" s="322">
        <v>182429</v>
      </c>
      <c r="H39" s="322">
        <v>0</v>
      </c>
      <c r="I39" s="322">
        <v>26698</v>
      </c>
      <c r="J39" s="322">
        <v>0</v>
      </c>
      <c r="K39" s="322">
        <v>0</v>
      </c>
      <c r="L39" s="322">
        <f>SUM(E39:K39)</f>
        <v>379287</v>
      </c>
      <c r="M39" s="322">
        <v>0</v>
      </c>
      <c r="N39" s="322">
        <f t="shared" si="12"/>
        <v>5167338</v>
      </c>
    </row>
    <row r="40" spans="1:14" s="324" customFormat="1" ht="18" customHeight="1">
      <c r="A40" s="658" t="s">
        <v>275</v>
      </c>
      <c r="B40" s="659"/>
      <c r="C40" s="323">
        <f t="shared" ref="C40:N40" si="17">SUM(C39:C39)</f>
        <v>4788051</v>
      </c>
      <c r="D40" s="323">
        <f t="shared" ref="D40:F40" si="18">SUM(D39:D39)</f>
        <v>0</v>
      </c>
      <c r="E40" s="323">
        <f t="shared" si="18"/>
        <v>170160</v>
      </c>
      <c r="F40" s="323">
        <f t="shared" si="18"/>
        <v>0</v>
      </c>
      <c r="G40" s="323">
        <f t="shared" ref="G40:K40" si="19">SUM(G39:G39)</f>
        <v>182429</v>
      </c>
      <c r="H40" s="323">
        <f t="shared" si="19"/>
        <v>0</v>
      </c>
      <c r="I40" s="323">
        <f t="shared" si="19"/>
        <v>26698</v>
      </c>
      <c r="J40" s="323">
        <f t="shared" si="19"/>
        <v>0</v>
      </c>
      <c r="K40" s="323">
        <f t="shared" si="19"/>
        <v>0</v>
      </c>
      <c r="L40" s="323">
        <f t="shared" si="17"/>
        <v>379287</v>
      </c>
      <c r="M40" s="323">
        <f t="shared" si="17"/>
        <v>0</v>
      </c>
      <c r="N40" s="323">
        <f t="shared" si="17"/>
        <v>5167338</v>
      </c>
    </row>
    <row r="41" spans="1:14" s="324" customFormat="1" ht="6.75" customHeight="1">
      <c r="A41" s="143"/>
      <c r="B41" s="143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</row>
    <row r="42" spans="1:14" s="324" customFormat="1" ht="18" customHeight="1" thickBot="1">
      <c r="A42" s="327" t="s">
        <v>251</v>
      </c>
      <c r="B42" s="327"/>
      <c r="C42" s="328">
        <f t="shared" ref="C42:K42" si="20">SUM(C40,C38,C33,C29,C22,C9,)</f>
        <v>25184774</v>
      </c>
      <c r="D42" s="328">
        <f t="shared" si="20"/>
        <v>0</v>
      </c>
      <c r="E42" s="328">
        <f t="shared" si="20"/>
        <v>238205</v>
      </c>
      <c r="F42" s="328">
        <f t="shared" si="20"/>
        <v>0</v>
      </c>
      <c r="G42" s="328">
        <f t="shared" si="20"/>
        <v>8049356</v>
      </c>
      <c r="H42" s="328">
        <f t="shared" si="20"/>
        <v>0</v>
      </c>
      <c r="I42" s="328">
        <f t="shared" si="20"/>
        <v>26698</v>
      </c>
      <c r="J42" s="328">
        <f t="shared" si="20"/>
        <v>0</v>
      </c>
      <c r="K42" s="328">
        <f t="shared" si="20"/>
        <v>909900</v>
      </c>
      <c r="L42" s="328">
        <f t="shared" ref="L42:N42" si="21">SUM(L40,L38,L33,L29,L22,L9,)</f>
        <v>9224159</v>
      </c>
      <c r="M42" s="328">
        <f>SUM(M40,M38,M33,M29,M22,M9,)</f>
        <v>359966</v>
      </c>
      <c r="N42" s="328">
        <f t="shared" si="21"/>
        <v>34768899</v>
      </c>
    </row>
    <row r="43" spans="1:14" ht="16.2" thickTop="1">
      <c r="A43" s="313"/>
      <c r="B43" s="313"/>
    </row>
    <row r="44" spans="1:14">
      <c r="C44" s="637"/>
      <c r="N44" s="637"/>
    </row>
    <row r="45" spans="1:14">
      <c r="C45" s="637"/>
      <c r="N45" s="637"/>
    </row>
    <row r="46" spans="1:14">
      <c r="C46" s="637"/>
    </row>
    <row r="47" spans="1:14">
      <c r="C47" s="637"/>
      <c r="N47" s="637"/>
    </row>
    <row r="50" spans="1:13">
      <c r="A50" s="313"/>
      <c r="B50" s="313"/>
    </row>
    <row r="51" spans="1:13">
      <c r="A51" s="313"/>
      <c r="B51" s="313"/>
    </row>
    <row r="52" spans="1:13">
      <c r="A52" s="313"/>
      <c r="B52" s="313"/>
    </row>
    <row r="57" spans="1:13">
      <c r="M57" s="180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5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Q26" sqref="Q26"/>
    </sheetView>
  </sheetViews>
  <sheetFormatPr defaultRowHeight="13.2"/>
  <cols>
    <col min="1" max="1" width="58.33203125" style="352" bestFit="1" customWidth="1"/>
    <col min="2" max="2" width="17" style="352" bestFit="1" customWidth="1"/>
    <col min="3" max="8" width="11.88671875" style="342" hidden="1" customWidth="1"/>
    <col min="9" max="9" width="13.44140625" style="342" hidden="1" customWidth="1"/>
    <col min="10" max="13" width="11.88671875" style="342" hidden="1" customWidth="1"/>
    <col min="14" max="14" width="11.88671875" style="342" customWidth="1"/>
    <col min="15" max="15" width="16.109375" style="342" bestFit="1" customWidth="1"/>
    <col min="16" max="16" width="22.33203125" style="352" customWidth="1"/>
    <col min="17" max="17" width="22.33203125" style="353" customWidth="1"/>
    <col min="18" max="18" width="10.44140625" style="352" customWidth="1"/>
    <col min="19" max="250" width="8.88671875" style="352"/>
    <col min="251" max="251" width="57.33203125" style="352" bestFit="1" customWidth="1"/>
    <col min="252" max="252" width="10.6640625" style="352" bestFit="1" customWidth="1"/>
    <col min="253" max="263" width="0" style="352" hidden="1" customWidth="1"/>
    <col min="264" max="264" width="14.88671875" style="352" bestFit="1" customWidth="1"/>
    <col min="265" max="273" width="0" style="352" hidden="1" customWidth="1"/>
    <col min="274" max="274" width="10.44140625" style="352" customWidth="1"/>
    <col min="275" max="506" width="8.88671875" style="352"/>
    <col min="507" max="507" width="57.33203125" style="352" bestFit="1" customWidth="1"/>
    <col min="508" max="508" width="10.6640625" style="352" bestFit="1" customWidth="1"/>
    <col min="509" max="519" width="0" style="352" hidden="1" customWidth="1"/>
    <col min="520" max="520" width="14.88671875" style="352" bestFit="1" customWidth="1"/>
    <col min="521" max="529" width="0" style="352" hidden="1" customWidth="1"/>
    <col min="530" max="530" width="10.44140625" style="352" customWidth="1"/>
    <col min="531" max="762" width="8.88671875" style="352"/>
    <col min="763" max="763" width="57.33203125" style="352" bestFit="1" customWidth="1"/>
    <col min="764" max="764" width="10.6640625" style="352" bestFit="1" customWidth="1"/>
    <col min="765" max="775" width="0" style="352" hidden="1" customWidth="1"/>
    <col min="776" max="776" width="14.88671875" style="352" bestFit="1" customWidth="1"/>
    <col min="777" max="785" width="0" style="352" hidden="1" customWidth="1"/>
    <col min="786" max="786" width="10.44140625" style="352" customWidth="1"/>
    <col min="787" max="1018" width="8.88671875" style="352"/>
    <col min="1019" max="1019" width="57.33203125" style="352" bestFit="1" customWidth="1"/>
    <col min="1020" max="1020" width="10.6640625" style="352" bestFit="1" customWidth="1"/>
    <col min="1021" max="1031" width="0" style="352" hidden="1" customWidth="1"/>
    <col min="1032" max="1032" width="14.88671875" style="352" bestFit="1" customWidth="1"/>
    <col min="1033" max="1041" width="0" style="352" hidden="1" customWidth="1"/>
    <col min="1042" max="1042" width="10.44140625" style="352" customWidth="1"/>
    <col min="1043" max="1274" width="8.88671875" style="352"/>
    <col min="1275" max="1275" width="57.33203125" style="352" bestFit="1" customWidth="1"/>
    <col min="1276" max="1276" width="10.6640625" style="352" bestFit="1" customWidth="1"/>
    <col min="1277" max="1287" width="0" style="352" hidden="1" customWidth="1"/>
    <col min="1288" max="1288" width="14.88671875" style="352" bestFit="1" customWidth="1"/>
    <col min="1289" max="1297" width="0" style="352" hidden="1" customWidth="1"/>
    <col min="1298" max="1298" width="10.44140625" style="352" customWidth="1"/>
    <col min="1299" max="1530" width="8.88671875" style="352"/>
    <col min="1531" max="1531" width="57.33203125" style="352" bestFit="1" customWidth="1"/>
    <col min="1532" max="1532" width="10.6640625" style="352" bestFit="1" customWidth="1"/>
    <col min="1533" max="1543" width="0" style="352" hidden="1" customWidth="1"/>
    <col min="1544" max="1544" width="14.88671875" style="352" bestFit="1" customWidth="1"/>
    <col min="1545" max="1553" width="0" style="352" hidden="1" customWidth="1"/>
    <col min="1554" max="1554" width="10.44140625" style="352" customWidth="1"/>
    <col min="1555" max="1786" width="8.88671875" style="352"/>
    <col min="1787" max="1787" width="57.33203125" style="352" bestFit="1" customWidth="1"/>
    <col min="1788" max="1788" width="10.6640625" style="352" bestFit="1" customWidth="1"/>
    <col min="1789" max="1799" width="0" style="352" hidden="1" customWidth="1"/>
    <col min="1800" max="1800" width="14.88671875" style="352" bestFit="1" customWidth="1"/>
    <col min="1801" max="1809" width="0" style="352" hidden="1" customWidth="1"/>
    <col min="1810" max="1810" width="10.44140625" style="352" customWidth="1"/>
    <col min="1811" max="2042" width="8.88671875" style="352"/>
    <col min="2043" max="2043" width="57.33203125" style="352" bestFit="1" customWidth="1"/>
    <col min="2044" max="2044" width="10.6640625" style="352" bestFit="1" customWidth="1"/>
    <col min="2045" max="2055" width="0" style="352" hidden="1" customWidth="1"/>
    <col min="2056" max="2056" width="14.88671875" style="352" bestFit="1" customWidth="1"/>
    <col min="2057" max="2065" width="0" style="352" hidden="1" customWidth="1"/>
    <col min="2066" max="2066" width="10.44140625" style="352" customWidth="1"/>
    <col min="2067" max="2298" width="8.88671875" style="352"/>
    <col min="2299" max="2299" width="57.33203125" style="352" bestFit="1" customWidth="1"/>
    <col min="2300" max="2300" width="10.6640625" style="352" bestFit="1" customWidth="1"/>
    <col min="2301" max="2311" width="0" style="352" hidden="1" customWidth="1"/>
    <col min="2312" max="2312" width="14.88671875" style="352" bestFit="1" customWidth="1"/>
    <col min="2313" max="2321" width="0" style="352" hidden="1" customWidth="1"/>
    <col min="2322" max="2322" width="10.44140625" style="352" customWidth="1"/>
    <col min="2323" max="2554" width="8.88671875" style="352"/>
    <col min="2555" max="2555" width="57.33203125" style="352" bestFit="1" customWidth="1"/>
    <col min="2556" max="2556" width="10.6640625" style="352" bestFit="1" customWidth="1"/>
    <col min="2557" max="2567" width="0" style="352" hidden="1" customWidth="1"/>
    <col min="2568" max="2568" width="14.88671875" style="352" bestFit="1" customWidth="1"/>
    <col min="2569" max="2577" width="0" style="352" hidden="1" customWidth="1"/>
    <col min="2578" max="2578" width="10.44140625" style="352" customWidth="1"/>
    <col min="2579" max="2810" width="8.88671875" style="352"/>
    <col min="2811" max="2811" width="57.33203125" style="352" bestFit="1" customWidth="1"/>
    <col min="2812" max="2812" width="10.6640625" style="352" bestFit="1" customWidth="1"/>
    <col min="2813" max="2823" width="0" style="352" hidden="1" customWidth="1"/>
    <col min="2824" max="2824" width="14.88671875" style="352" bestFit="1" customWidth="1"/>
    <col min="2825" max="2833" width="0" style="352" hidden="1" customWidth="1"/>
    <col min="2834" max="2834" width="10.44140625" style="352" customWidth="1"/>
    <col min="2835" max="3066" width="8.88671875" style="352"/>
    <col min="3067" max="3067" width="57.33203125" style="352" bestFit="1" customWidth="1"/>
    <col min="3068" max="3068" width="10.6640625" style="352" bestFit="1" customWidth="1"/>
    <col min="3069" max="3079" width="0" style="352" hidden="1" customWidth="1"/>
    <col min="3080" max="3080" width="14.88671875" style="352" bestFit="1" customWidth="1"/>
    <col min="3081" max="3089" width="0" style="352" hidden="1" customWidth="1"/>
    <col min="3090" max="3090" width="10.44140625" style="352" customWidth="1"/>
    <col min="3091" max="3322" width="8.88671875" style="352"/>
    <col min="3323" max="3323" width="57.33203125" style="352" bestFit="1" customWidth="1"/>
    <col min="3324" max="3324" width="10.6640625" style="352" bestFit="1" customWidth="1"/>
    <col min="3325" max="3335" width="0" style="352" hidden="1" customWidth="1"/>
    <col min="3336" max="3336" width="14.88671875" style="352" bestFit="1" customWidth="1"/>
    <col min="3337" max="3345" width="0" style="352" hidden="1" customWidth="1"/>
    <col min="3346" max="3346" width="10.44140625" style="352" customWidth="1"/>
    <col min="3347" max="3578" width="8.88671875" style="352"/>
    <col min="3579" max="3579" width="57.33203125" style="352" bestFit="1" customWidth="1"/>
    <col min="3580" max="3580" width="10.6640625" style="352" bestFit="1" customWidth="1"/>
    <col min="3581" max="3591" width="0" style="352" hidden="1" customWidth="1"/>
    <col min="3592" max="3592" width="14.88671875" style="352" bestFit="1" customWidth="1"/>
    <col min="3593" max="3601" width="0" style="352" hidden="1" customWidth="1"/>
    <col min="3602" max="3602" width="10.44140625" style="352" customWidth="1"/>
    <col min="3603" max="3834" width="8.88671875" style="352"/>
    <col min="3835" max="3835" width="57.33203125" style="352" bestFit="1" customWidth="1"/>
    <col min="3836" max="3836" width="10.6640625" style="352" bestFit="1" customWidth="1"/>
    <col min="3837" max="3847" width="0" style="352" hidden="1" customWidth="1"/>
    <col min="3848" max="3848" width="14.88671875" style="352" bestFit="1" customWidth="1"/>
    <col min="3849" max="3857" width="0" style="352" hidden="1" customWidth="1"/>
    <col min="3858" max="3858" width="10.44140625" style="352" customWidth="1"/>
    <col min="3859" max="4090" width="8.88671875" style="352"/>
    <col min="4091" max="4091" width="57.33203125" style="352" bestFit="1" customWidth="1"/>
    <col min="4092" max="4092" width="10.6640625" style="352" bestFit="1" customWidth="1"/>
    <col min="4093" max="4103" width="0" style="352" hidden="1" customWidth="1"/>
    <col min="4104" max="4104" width="14.88671875" style="352" bestFit="1" customWidth="1"/>
    <col min="4105" max="4113" width="0" style="352" hidden="1" customWidth="1"/>
    <col min="4114" max="4114" width="10.44140625" style="352" customWidth="1"/>
    <col min="4115" max="4346" width="8.88671875" style="352"/>
    <col min="4347" max="4347" width="57.33203125" style="352" bestFit="1" customWidth="1"/>
    <col min="4348" max="4348" width="10.6640625" style="352" bestFit="1" customWidth="1"/>
    <col min="4349" max="4359" width="0" style="352" hidden="1" customWidth="1"/>
    <col min="4360" max="4360" width="14.88671875" style="352" bestFit="1" customWidth="1"/>
    <col min="4361" max="4369" width="0" style="352" hidden="1" customWidth="1"/>
    <col min="4370" max="4370" width="10.44140625" style="352" customWidth="1"/>
    <col min="4371" max="4602" width="8.88671875" style="352"/>
    <col min="4603" max="4603" width="57.33203125" style="352" bestFit="1" customWidth="1"/>
    <col min="4604" max="4604" width="10.6640625" style="352" bestFit="1" customWidth="1"/>
    <col min="4605" max="4615" width="0" style="352" hidden="1" customWidth="1"/>
    <col min="4616" max="4616" width="14.88671875" style="352" bestFit="1" customWidth="1"/>
    <col min="4617" max="4625" width="0" style="352" hidden="1" customWidth="1"/>
    <col min="4626" max="4626" width="10.44140625" style="352" customWidth="1"/>
    <col min="4627" max="4858" width="8.88671875" style="352"/>
    <col min="4859" max="4859" width="57.33203125" style="352" bestFit="1" customWidth="1"/>
    <col min="4860" max="4860" width="10.6640625" style="352" bestFit="1" customWidth="1"/>
    <col min="4861" max="4871" width="0" style="352" hidden="1" customWidth="1"/>
    <col min="4872" max="4872" width="14.88671875" style="352" bestFit="1" customWidth="1"/>
    <col min="4873" max="4881" width="0" style="352" hidden="1" customWidth="1"/>
    <col min="4882" max="4882" width="10.44140625" style="352" customWidth="1"/>
    <col min="4883" max="5114" width="8.88671875" style="352"/>
    <col min="5115" max="5115" width="57.33203125" style="352" bestFit="1" customWidth="1"/>
    <col min="5116" max="5116" width="10.6640625" style="352" bestFit="1" customWidth="1"/>
    <col min="5117" max="5127" width="0" style="352" hidden="1" customWidth="1"/>
    <col min="5128" max="5128" width="14.88671875" style="352" bestFit="1" customWidth="1"/>
    <col min="5129" max="5137" width="0" style="352" hidden="1" customWidth="1"/>
    <col min="5138" max="5138" width="10.44140625" style="352" customWidth="1"/>
    <col min="5139" max="5370" width="8.88671875" style="352"/>
    <col min="5371" max="5371" width="57.33203125" style="352" bestFit="1" customWidth="1"/>
    <col min="5372" max="5372" width="10.6640625" style="352" bestFit="1" customWidth="1"/>
    <col min="5373" max="5383" width="0" style="352" hidden="1" customWidth="1"/>
    <col min="5384" max="5384" width="14.88671875" style="352" bestFit="1" customWidth="1"/>
    <col min="5385" max="5393" width="0" style="352" hidden="1" customWidth="1"/>
    <col min="5394" max="5394" width="10.44140625" style="352" customWidth="1"/>
    <col min="5395" max="5626" width="8.88671875" style="352"/>
    <col min="5627" max="5627" width="57.33203125" style="352" bestFit="1" customWidth="1"/>
    <col min="5628" max="5628" width="10.6640625" style="352" bestFit="1" customWidth="1"/>
    <col min="5629" max="5639" width="0" style="352" hidden="1" customWidth="1"/>
    <col min="5640" max="5640" width="14.88671875" style="352" bestFit="1" customWidth="1"/>
    <col min="5641" max="5649" width="0" style="352" hidden="1" customWidth="1"/>
    <col min="5650" max="5650" width="10.44140625" style="352" customWidth="1"/>
    <col min="5651" max="5882" width="8.88671875" style="352"/>
    <col min="5883" max="5883" width="57.33203125" style="352" bestFit="1" customWidth="1"/>
    <col min="5884" max="5884" width="10.6640625" style="352" bestFit="1" customWidth="1"/>
    <col min="5885" max="5895" width="0" style="352" hidden="1" customWidth="1"/>
    <col min="5896" max="5896" width="14.88671875" style="352" bestFit="1" customWidth="1"/>
    <col min="5897" max="5905" width="0" style="352" hidden="1" customWidth="1"/>
    <col min="5906" max="5906" width="10.44140625" style="352" customWidth="1"/>
    <col min="5907" max="6138" width="8.88671875" style="352"/>
    <col min="6139" max="6139" width="57.33203125" style="352" bestFit="1" customWidth="1"/>
    <col min="6140" max="6140" width="10.6640625" style="352" bestFit="1" customWidth="1"/>
    <col min="6141" max="6151" width="0" style="352" hidden="1" customWidth="1"/>
    <col min="6152" max="6152" width="14.88671875" style="352" bestFit="1" customWidth="1"/>
    <col min="6153" max="6161" width="0" style="352" hidden="1" customWidth="1"/>
    <col min="6162" max="6162" width="10.44140625" style="352" customWidth="1"/>
    <col min="6163" max="6394" width="8.88671875" style="352"/>
    <col min="6395" max="6395" width="57.33203125" style="352" bestFit="1" customWidth="1"/>
    <col min="6396" max="6396" width="10.6640625" style="352" bestFit="1" customWidth="1"/>
    <col min="6397" max="6407" width="0" style="352" hidden="1" customWidth="1"/>
    <col min="6408" max="6408" width="14.88671875" style="352" bestFit="1" customWidth="1"/>
    <col min="6409" max="6417" width="0" style="352" hidden="1" customWidth="1"/>
    <col min="6418" max="6418" width="10.44140625" style="352" customWidth="1"/>
    <col min="6419" max="6650" width="8.88671875" style="352"/>
    <col min="6651" max="6651" width="57.33203125" style="352" bestFit="1" customWidth="1"/>
    <col min="6652" max="6652" width="10.6640625" style="352" bestFit="1" customWidth="1"/>
    <col min="6653" max="6663" width="0" style="352" hidden="1" customWidth="1"/>
    <col min="6664" max="6664" width="14.88671875" style="352" bestFit="1" customWidth="1"/>
    <col min="6665" max="6673" width="0" style="352" hidden="1" customWidth="1"/>
    <col min="6674" max="6674" width="10.44140625" style="352" customWidth="1"/>
    <col min="6675" max="6906" width="8.88671875" style="352"/>
    <col min="6907" max="6907" width="57.33203125" style="352" bestFit="1" customWidth="1"/>
    <col min="6908" max="6908" width="10.6640625" style="352" bestFit="1" customWidth="1"/>
    <col min="6909" max="6919" width="0" style="352" hidden="1" customWidth="1"/>
    <col min="6920" max="6920" width="14.88671875" style="352" bestFit="1" customWidth="1"/>
    <col min="6921" max="6929" width="0" style="352" hidden="1" customWidth="1"/>
    <col min="6930" max="6930" width="10.44140625" style="352" customWidth="1"/>
    <col min="6931" max="7162" width="8.88671875" style="352"/>
    <col min="7163" max="7163" width="57.33203125" style="352" bestFit="1" customWidth="1"/>
    <col min="7164" max="7164" width="10.6640625" style="352" bestFit="1" customWidth="1"/>
    <col min="7165" max="7175" width="0" style="352" hidden="1" customWidth="1"/>
    <col min="7176" max="7176" width="14.88671875" style="352" bestFit="1" customWidth="1"/>
    <col min="7177" max="7185" width="0" style="352" hidden="1" customWidth="1"/>
    <col min="7186" max="7186" width="10.44140625" style="352" customWidth="1"/>
    <col min="7187" max="7418" width="8.88671875" style="352"/>
    <col min="7419" max="7419" width="57.33203125" style="352" bestFit="1" customWidth="1"/>
    <col min="7420" max="7420" width="10.6640625" style="352" bestFit="1" customWidth="1"/>
    <col min="7421" max="7431" width="0" style="352" hidden="1" customWidth="1"/>
    <col min="7432" max="7432" width="14.88671875" style="352" bestFit="1" customWidth="1"/>
    <col min="7433" max="7441" width="0" style="352" hidden="1" customWidth="1"/>
    <col min="7442" max="7442" width="10.44140625" style="352" customWidth="1"/>
    <col min="7443" max="7674" width="8.88671875" style="352"/>
    <col min="7675" max="7675" width="57.33203125" style="352" bestFit="1" customWidth="1"/>
    <col min="7676" max="7676" width="10.6640625" style="352" bestFit="1" customWidth="1"/>
    <col min="7677" max="7687" width="0" style="352" hidden="1" customWidth="1"/>
    <col min="7688" max="7688" width="14.88671875" style="352" bestFit="1" customWidth="1"/>
    <col min="7689" max="7697" width="0" style="352" hidden="1" customWidth="1"/>
    <col min="7698" max="7698" width="10.44140625" style="352" customWidth="1"/>
    <col min="7699" max="7930" width="8.88671875" style="352"/>
    <col min="7931" max="7931" width="57.33203125" style="352" bestFit="1" customWidth="1"/>
    <col min="7932" max="7932" width="10.6640625" style="352" bestFit="1" customWidth="1"/>
    <col min="7933" max="7943" width="0" style="352" hidden="1" customWidth="1"/>
    <col min="7944" max="7944" width="14.88671875" style="352" bestFit="1" customWidth="1"/>
    <col min="7945" max="7953" width="0" style="352" hidden="1" customWidth="1"/>
    <col min="7954" max="7954" width="10.44140625" style="352" customWidth="1"/>
    <col min="7955" max="8186" width="8.88671875" style="352"/>
    <col min="8187" max="8187" width="57.33203125" style="352" bestFit="1" customWidth="1"/>
    <col min="8188" max="8188" width="10.6640625" style="352" bestFit="1" customWidth="1"/>
    <col min="8189" max="8199" width="0" style="352" hidden="1" customWidth="1"/>
    <col min="8200" max="8200" width="14.88671875" style="352" bestFit="1" customWidth="1"/>
    <col min="8201" max="8209" width="0" style="352" hidden="1" customWidth="1"/>
    <col min="8210" max="8210" width="10.44140625" style="352" customWidth="1"/>
    <col min="8211" max="8442" width="8.88671875" style="352"/>
    <col min="8443" max="8443" width="57.33203125" style="352" bestFit="1" customWidth="1"/>
    <col min="8444" max="8444" width="10.6640625" style="352" bestFit="1" customWidth="1"/>
    <col min="8445" max="8455" width="0" style="352" hidden="1" customWidth="1"/>
    <col min="8456" max="8456" width="14.88671875" style="352" bestFit="1" customWidth="1"/>
    <col min="8457" max="8465" width="0" style="352" hidden="1" customWidth="1"/>
    <col min="8466" max="8466" width="10.44140625" style="352" customWidth="1"/>
    <col min="8467" max="8698" width="8.88671875" style="352"/>
    <col min="8699" max="8699" width="57.33203125" style="352" bestFit="1" customWidth="1"/>
    <col min="8700" max="8700" width="10.6640625" style="352" bestFit="1" customWidth="1"/>
    <col min="8701" max="8711" width="0" style="352" hidden="1" customWidth="1"/>
    <col min="8712" max="8712" width="14.88671875" style="352" bestFit="1" customWidth="1"/>
    <col min="8713" max="8721" width="0" style="352" hidden="1" customWidth="1"/>
    <col min="8722" max="8722" width="10.44140625" style="352" customWidth="1"/>
    <col min="8723" max="8954" width="8.88671875" style="352"/>
    <col min="8955" max="8955" width="57.33203125" style="352" bestFit="1" customWidth="1"/>
    <col min="8956" max="8956" width="10.6640625" style="352" bestFit="1" customWidth="1"/>
    <col min="8957" max="8967" width="0" style="352" hidden="1" customWidth="1"/>
    <col min="8968" max="8968" width="14.88671875" style="352" bestFit="1" customWidth="1"/>
    <col min="8969" max="8977" width="0" style="352" hidden="1" customWidth="1"/>
    <col min="8978" max="8978" width="10.44140625" style="352" customWidth="1"/>
    <col min="8979" max="9210" width="8.88671875" style="352"/>
    <col min="9211" max="9211" width="57.33203125" style="352" bestFit="1" customWidth="1"/>
    <col min="9212" max="9212" width="10.6640625" style="352" bestFit="1" customWidth="1"/>
    <col min="9213" max="9223" width="0" style="352" hidden="1" customWidth="1"/>
    <col min="9224" max="9224" width="14.88671875" style="352" bestFit="1" customWidth="1"/>
    <col min="9225" max="9233" width="0" style="352" hidden="1" customWidth="1"/>
    <col min="9234" max="9234" width="10.44140625" style="352" customWidth="1"/>
    <col min="9235" max="9466" width="8.88671875" style="352"/>
    <col min="9467" max="9467" width="57.33203125" style="352" bestFit="1" customWidth="1"/>
    <col min="9468" max="9468" width="10.6640625" style="352" bestFit="1" customWidth="1"/>
    <col min="9469" max="9479" width="0" style="352" hidden="1" customWidth="1"/>
    <col min="9480" max="9480" width="14.88671875" style="352" bestFit="1" customWidth="1"/>
    <col min="9481" max="9489" width="0" style="352" hidden="1" customWidth="1"/>
    <col min="9490" max="9490" width="10.44140625" style="352" customWidth="1"/>
    <col min="9491" max="9722" width="8.88671875" style="352"/>
    <col min="9723" max="9723" width="57.33203125" style="352" bestFit="1" customWidth="1"/>
    <col min="9724" max="9724" width="10.6640625" style="352" bestFit="1" customWidth="1"/>
    <col min="9725" max="9735" width="0" style="352" hidden="1" customWidth="1"/>
    <col min="9736" max="9736" width="14.88671875" style="352" bestFit="1" customWidth="1"/>
    <col min="9737" max="9745" width="0" style="352" hidden="1" customWidth="1"/>
    <col min="9746" max="9746" width="10.44140625" style="352" customWidth="1"/>
    <col min="9747" max="9978" width="8.88671875" style="352"/>
    <col min="9979" max="9979" width="57.33203125" style="352" bestFit="1" customWidth="1"/>
    <col min="9980" max="9980" width="10.6640625" style="352" bestFit="1" customWidth="1"/>
    <col min="9981" max="9991" width="0" style="352" hidden="1" customWidth="1"/>
    <col min="9992" max="9992" width="14.88671875" style="352" bestFit="1" customWidth="1"/>
    <col min="9993" max="10001" width="0" style="352" hidden="1" customWidth="1"/>
    <col min="10002" max="10002" width="10.44140625" style="352" customWidth="1"/>
    <col min="10003" max="10234" width="8.88671875" style="352"/>
    <col min="10235" max="10235" width="57.33203125" style="352" bestFit="1" customWidth="1"/>
    <col min="10236" max="10236" width="10.6640625" style="352" bestFit="1" customWidth="1"/>
    <col min="10237" max="10247" width="0" style="352" hidden="1" customWidth="1"/>
    <col min="10248" max="10248" width="14.88671875" style="352" bestFit="1" customWidth="1"/>
    <col min="10249" max="10257" width="0" style="352" hidden="1" customWidth="1"/>
    <col min="10258" max="10258" width="10.44140625" style="352" customWidth="1"/>
    <col min="10259" max="10490" width="8.88671875" style="352"/>
    <col min="10491" max="10491" width="57.33203125" style="352" bestFit="1" customWidth="1"/>
    <col min="10492" max="10492" width="10.6640625" style="352" bestFit="1" customWidth="1"/>
    <col min="10493" max="10503" width="0" style="352" hidden="1" customWidth="1"/>
    <col min="10504" max="10504" width="14.88671875" style="352" bestFit="1" customWidth="1"/>
    <col min="10505" max="10513" width="0" style="352" hidden="1" customWidth="1"/>
    <col min="10514" max="10514" width="10.44140625" style="352" customWidth="1"/>
    <col min="10515" max="10746" width="8.88671875" style="352"/>
    <col min="10747" max="10747" width="57.33203125" style="352" bestFit="1" customWidth="1"/>
    <col min="10748" max="10748" width="10.6640625" style="352" bestFit="1" customWidth="1"/>
    <col min="10749" max="10759" width="0" style="352" hidden="1" customWidth="1"/>
    <col min="10760" max="10760" width="14.88671875" style="352" bestFit="1" customWidth="1"/>
    <col min="10761" max="10769" width="0" style="352" hidden="1" customWidth="1"/>
    <col min="10770" max="10770" width="10.44140625" style="352" customWidth="1"/>
    <col min="10771" max="11002" width="8.88671875" style="352"/>
    <col min="11003" max="11003" width="57.33203125" style="352" bestFit="1" customWidth="1"/>
    <col min="11004" max="11004" width="10.6640625" style="352" bestFit="1" customWidth="1"/>
    <col min="11005" max="11015" width="0" style="352" hidden="1" customWidth="1"/>
    <col min="11016" max="11016" width="14.88671875" style="352" bestFit="1" customWidth="1"/>
    <col min="11017" max="11025" width="0" style="352" hidden="1" customWidth="1"/>
    <col min="11026" max="11026" width="10.44140625" style="352" customWidth="1"/>
    <col min="11027" max="11258" width="8.88671875" style="352"/>
    <col min="11259" max="11259" width="57.33203125" style="352" bestFit="1" customWidth="1"/>
    <col min="11260" max="11260" width="10.6640625" style="352" bestFit="1" customWidth="1"/>
    <col min="11261" max="11271" width="0" style="352" hidden="1" customWidth="1"/>
    <col min="11272" max="11272" width="14.88671875" style="352" bestFit="1" customWidth="1"/>
    <col min="11273" max="11281" width="0" style="352" hidden="1" customWidth="1"/>
    <col min="11282" max="11282" width="10.44140625" style="352" customWidth="1"/>
    <col min="11283" max="11514" width="8.88671875" style="352"/>
    <col min="11515" max="11515" width="57.33203125" style="352" bestFit="1" customWidth="1"/>
    <col min="11516" max="11516" width="10.6640625" style="352" bestFit="1" customWidth="1"/>
    <col min="11517" max="11527" width="0" style="352" hidden="1" customWidth="1"/>
    <col min="11528" max="11528" width="14.88671875" style="352" bestFit="1" customWidth="1"/>
    <col min="11529" max="11537" width="0" style="352" hidden="1" customWidth="1"/>
    <col min="11538" max="11538" width="10.44140625" style="352" customWidth="1"/>
    <col min="11539" max="11770" width="8.88671875" style="352"/>
    <col min="11771" max="11771" width="57.33203125" style="352" bestFit="1" customWidth="1"/>
    <col min="11772" max="11772" width="10.6640625" style="352" bestFit="1" customWidth="1"/>
    <col min="11773" max="11783" width="0" style="352" hidden="1" customWidth="1"/>
    <col min="11784" max="11784" width="14.88671875" style="352" bestFit="1" customWidth="1"/>
    <col min="11785" max="11793" width="0" style="352" hidden="1" customWidth="1"/>
    <col min="11794" max="11794" width="10.44140625" style="352" customWidth="1"/>
    <col min="11795" max="12026" width="8.88671875" style="352"/>
    <col min="12027" max="12027" width="57.33203125" style="352" bestFit="1" customWidth="1"/>
    <col min="12028" max="12028" width="10.6640625" style="352" bestFit="1" customWidth="1"/>
    <col min="12029" max="12039" width="0" style="352" hidden="1" customWidth="1"/>
    <col min="12040" max="12040" width="14.88671875" style="352" bestFit="1" customWidth="1"/>
    <col min="12041" max="12049" width="0" style="352" hidden="1" customWidth="1"/>
    <col min="12050" max="12050" width="10.44140625" style="352" customWidth="1"/>
    <col min="12051" max="12282" width="8.88671875" style="352"/>
    <col min="12283" max="12283" width="57.33203125" style="352" bestFit="1" customWidth="1"/>
    <col min="12284" max="12284" width="10.6640625" style="352" bestFit="1" customWidth="1"/>
    <col min="12285" max="12295" width="0" style="352" hidden="1" customWidth="1"/>
    <col min="12296" max="12296" width="14.88671875" style="352" bestFit="1" customWidth="1"/>
    <col min="12297" max="12305" width="0" style="352" hidden="1" customWidth="1"/>
    <col min="12306" max="12306" width="10.44140625" style="352" customWidth="1"/>
    <col min="12307" max="12538" width="8.88671875" style="352"/>
    <col min="12539" max="12539" width="57.33203125" style="352" bestFit="1" customWidth="1"/>
    <col min="12540" max="12540" width="10.6640625" style="352" bestFit="1" customWidth="1"/>
    <col min="12541" max="12551" width="0" style="352" hidden="1" customWidth="1"/>
    <col min="12552" max="12552" width="14.88671875" style="352" bestFit="1" customWidth="1"/>
    <col min="12553" max="12561" width="0" style="352" hidden="1" customWidth="1"/>
    <col min="12562" max="12562" width="10.44140625" style="352" customWidth="1"/>
    <col min="12563" max="12794" width="8.88671875" style="352"/>
    <col min="12795" max="12795" width="57.33203125" style="352" bestFit="1" customWidth="1"/>
    <col min="12796" max="12796" width="10.6640625" style="352" bestFit="1" customWidth="1"/>
    <col min="12797" max="12807" width="0" style="352" hidden="1" customWidth="1"/>
    <col min="12808" max="12808" width="14.88671875" style="352" bestFit="1" customWidth="1"/>
    <col min="12809" max="12817" width="0" style="352" hidden="1" customWidth="1"/>
    <col min="12818" max="12818" width="10.44140625" style="352" customWidth="1"/>
    <col min="12819" max="13050" width="8.88671875" style="352"/>
    <col min="13051" max="13051" width="57.33203125" style="352" bestFit="1" customWidth="1"/>
    <col min="13052" max="13052" width="10.6640625" style="352" bestFit="1" customWidth="1"/>
    <col min="13053" max="13063" width="0" style="352" hidden="1" customWidth="1"/>
    <col min="13064" max="13064" width="14.88671875" style="352" bestFit="1" customWidth="1"/>
    <col min="13065" max="13073" width="0" style="352" hidden="1" customWidth="1"/>
    <col min="13074" max="13074" width="10.44140625" style="352" customWidth="1"/>
    <col min="13075" max="13306" width="8.88671875" style="352"/>
    <col min="13307" max="13307" width="57.33203125" style="352" bestFit="1" customWidth="1"/>
    <col min="13308" max="13308" width="10.6640625" style="352" bestFit="1" customWidth="1"/>
    <col min="13309" max="13319" width="0" style="352" hidden="1" customWidth="1"/>
    <col min="13320" max="13320" width="14.88671875" style="352" bestFit="1" customWidth="1"/>
    <col min="13321" max="13329" width="0" style="352" hidden="1" customWidth="1"/>
    <col min="13330" max="13330" width="10.44140625" style="352" customWidth="1"/>
    <col min="13331" max="13562" width="8.88671875" style="352"/>
    <col min="13563" max="13563" width="57.33203125" style="352" bestFit="1" customWidth="1"/>
    <col min="13564" max="13564" width="10.6640625" style="352" bestFit="1" customWidth="1"/>
    <col min="13565" max="13575" width="0" style="352" hidden="1" customWidth="1"/>
    <col min="13576" max="13576" width="14.88671875" style="352" bestFit="1" customWidth="1"/>
    <col min="13577" max="13585" width="0" style="352" hidden="1" customWidth="1"/>
    <col min="13586" max="13586" width="10.44140625" style="352" customWidth="1"/>
    <col min="13587" max="13818" width="8.88671875" style="352"/>
    <col min="13819" max="13819" width="57.33203125" style="352" bestFit="1" customWidth="1"/>
    <col min="13820" max="13820" width="10.6640625" style="352" bestFit="1" customWidth="1"/>
    <col min="13821" max="13831" width="0" style="352" hidden="1" customWidth="1"/>
    <col min="13832" max="13832" width="14.88671875" style="352" bestFit="1" customWidth="1"/>
    <col min="13833" max="13841" width="0" style="352" hidden="1" customWidth="1"/>
    <col min="13842" max="13842" width="10.44140625" style="352" customWidth="1"/>
    <col min="13843" max="14074" width="8.88671875" style="352"/>
    <col min="14075" max="14075" width="57.33203125" style="352" bestFit="1" customWidth="1"/>
    <col min="14076" max="14076" width="10.6640625" style="352" bestFit="1" customWidth="1"/>
    <col min="14077" max="14087" width="0" style="352" hidden="1" customWidth="1"/>
    <col min="14088" max="14088" width="14.88671875" style="352" bestFit="1" customWidth="1"/>
    <col min="14089" max="14097" width="0" style="352" hidden="1" customWidth="1"/>
    <col min="14098" max="14098" width="10.44140625" style="352" customWidth="1"/>
    <col min="14099" max="14330" width="8.88671875" style="352"/>
    <col min="14331" max="14331" width="57.33203125" style="352" bestFit="1" customWidth="1"/>
    <col min="14332" max="14332" width="10.6640625" style="352" bestFit="1" customWidth="1"/>
    <col min="14333" max="14343" width="0" style="352" hidden="1" customWidth="1"/>
    <col min="14344" max="14344" width="14.88671875" style="352" bestFit="1" customWidth="1"/>
    <col min="14345" max="14353" width="0" style="352" hidden="1" customWidth="1"/>
    <col min="14354" max="14354" width="10.44140625" style="352" customWidth="1"/>
    <col min="14355" max="14586" width="8.88671875" style="352"/>
    <col min="14587" max="14587" width="57.33203125" style="352" bestFit="1" customWidth="1"/>
    <col min="14588" max="14588" width="10.6640625" style="352" bestFit="1" customWidth="1"/>
    <col min="14589" max="14599" width="0" style="352" hidden="1" customWidth="1"/>
    <col min="14600" max="14600" width="14.88671875" style="352" bestFit="1" customWidth="1"/>
    <col min="14601" max="14609" width="0" style="352" hidden="1" customWidth="1"/>
    <col min="14610" max="14610" width="10.44140625" style="352" customWidth="1"/>
    <col min="14611" max="14842" width="8.88671875" style="352"/>
    <col min="14843" max="14843" width="57.33203125" style="352" bestFit="1" customWidth="1"/>
    <col min="14844" max="14844" width="10.6640625" style="352" bestFit="1" customWidth="1"/>
    <col min="14845" max="14855" width="0" style="352" hidden="1" customWidth="1"/>
    <col min="14856" max="14856" width="14.88671875" style="352" bestFit="1" customWidth="1"/>
    <col min="14857" max="14865" width="0" style="352" hidden="1" customWidth="1"/>
    <col min="14866" max="14866" width="10.44140625" style="352" customWidth="1"/>
    <col min="14867" max="15098" width="8.88671875" style="352"/>
    <col min="15099" max="15099" width="57.33203125" style="352" bestFit="1" customWidth="1"/>
    <col min="15100" max="15100" width="10.6640625" style="352" bestFit="1" customWidth="1"/>
    <col min="15101" max="15111" width="0" style="352" hidden="1" customWidth="1"/>
    <col min="15112" max="15112" width="14.88671875" style="352" bestFit="1" customWidth="1"/>
    <col min="15113" max="15121" width="0" style="352" hidden="1" customWidth="1"/>
    <col min="15122" max="15122" width="10.44140625" style="352" customWidth="1"/>
    <col min="15123" max="15354" width="8.88671875" style="352"/>
    <col min="15355" max="15355" width="57.33203125" style="352" bestFit="1" customWidth="1"/>
    <col min="15356" max="15356" width="10.6640625" style="352" bestFit="1" customWidth="1"/>
    <col min="15357" max="15367" width="0" style="352" hidden="1" customWidth="1"/>
    <col min="15368" max="15368" width="14.88671875" style="352" bestFit="1" customWidth="1"/>
    <col min="15369" max="15377" width="0" style="352" hidden="1" customWidth="1"/>
    <col min="15378" max="15378" width="10.44140625" style="352" customWidth="1"/>
    <col min="15379" max="15610" width="8.88671875" style="352"/>
    <col min="15611" max="15611" width="57.33203125" style="352" bestFit="1" customWidth="1"/>
    <col min="15612" max="15612" width="10.6640625" style="352" bestFit="1" customWidth="1"/>
    <col min="15613" max="15623" width="0" style="352" hidden="1" customWidth="1"/>
    <col min="15624" max="15624" width="14.88671875" style="352" bestFit="1" customWidth="1"/>
    <col min="15625" max="15633" width="0" style="352" hidden="1" customWidth="1"/>
    <col min="15634" max="15634" width="10.44140625" style="352" customWidth="1"/>
    <col min="15635" max="15866" width="8.88671875" style="352"/>
    <col min="15867" max="15867" width="57.33203125" style="352" bestFit="1" customWidth="1"/>
    <col min="15868" max="15868" width="10.6640625" style="352" bestFit="1" customWidth="1"/>
    <col min="15869" max="15879" width="0" style="352" hidden="1" customWidth="1"/>
    <col min="15880" max="15880" width="14.88671875" style="352" bestFit="1" customWidth="1"/>
    <col min="15881" max="15889" width="0" style="352" hidden="1" customWidth="1"/>
    <col min="15890" max="15890" width="10.44140625" style="352" customWidth="1"/>
    <col min="15891" max="16122" width="8.88671875" style="352"/>
    <col min="16123" max="16123" width="57.33203125" style="352" bestFit="1" customWidth="1"/>
    <col min="16124" max="16124" width="10.6640625" style="352" bestFit="1" customWidth="1"/>
    <col min="16125" max="16135" width="0" style="352" hidden="1" customWidth="1"/>
    <col min="16136" max="16136" width="14.88671875" style="352" bestFit="1" customWidth="1"/>
    <col min="16137" max="16145" width="0" style="352" hidden="1" customWidth="1"/>
    <col min="16146" max="16146" width="10.44140625" style="352" customWidth="1"/>
    <col min="16147" max="16378" width="8.88671875" style="352"/>
    <col min="16379" max="16384" width="12.6640625" style="352" customWidth="1"/>
  </cols>
  <sheetData>
    <row r="1" spans="1:17" s="346" customFormat="1" ht="16.2">
      <c r="A1" s="660" t="s">
        <v>224</v>
      </c>
      <c r="B1" s="660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Q1" s="347"/>
    </row>
    <row r="2" spans="1:17" s="346" customFormat="1" ht="15.6">
      <c r="A2" s="662" t="s">
        <v>226</v>
      </c>
      <c r="B2" s="662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Q2" s="347"/>
    </row>
    <row r="3" spans="1:17" s="346" customFormat="1" ht="15.6">
      <c r="A3" s="664" t="s">
        <v>586</v>
      </c>
      <c r="B3" s="664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Q3" s="347"/>
    </row>
    <row r="4" spans="1:17" s="346" customFormat="1">
      <c r="A4" s="348"/>
      <c r="B4" s="348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1"/>
      <c r="Q4" s="347"/>
    </row>
    <row r="5" spans="1:17">
      <c r="A5" s="350"/>
      <c r="B5" s="350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7" ht="15.6">
      <c r="A6" s="99"/>
      <c r="B6" s="99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 t="s">
        <v>491</v>
      </c>
    </row>
    <row r="7" spans="1:17" s="354" customFormat="1" ht="16.2" thickBot="1">
      <c r="A7" s="100"/>
      <c r="B7" s="100"/>
      <c r="C7" s="343" t="s">
        <v>492</v>
      </c>
      <c r="D7" s="343" t="s">
        <v>493</v>
      </c>
      <c r="E7" s="343" t="s">
        <v>494</v>
      </c>
      <c r="F7" s="343" t="s">
        <v>495</v>
      </c>
      <c r="G7" s="343" t="s">
        <v>496</v>
      </c>
      <c r="H7" s="343" t="s">
        <v>497</v>
      </c>
      <c r="I7" s="343" t="s">
        <v>498</v>
      </c>
      <c r="J7" s="343" t="s">
        <v>499</v>
      </c>
      <c r="K7" s="343" t="s">
        <v>500</v>
      </c>
      <c r="L7" s="343" t="s">
        <v>501</v>
      </c>
      <c r="M7" s="343" t="s">
        <v>502</v>
      </c>
      <c r="N7" s="343" t="s">
        <v>503</v>
      </c>
      <c r="O7" s="407" t="s">
        <v>588</v>
      </c>
      <c r="Q7" s="353"/>
    </row>
    <row r="8" spans="1:17" ht="16.2" thickTop="1">
      <c r="A8" s="99"/>
      <c r="B8" s="99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7" ht="16.2" thickBot="1">
      <c r="A9" s="366" t="s">
        <v>227</v>
      </c>
      <c r="B9" s="383"/>
      <c r="C9" s="94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5">
        <f>C9</f>
        <v>0</v>
      </c>
    </row>
    <row r="10" spans="1:17" ht="15.6">
      <c r="A10" s="99"/>
      <c r="B10" s="99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7" ht="15.6">
      <c r="A11" s="408" t="s">
        <v>223</v>
      </c>
      <c r="B11" s="408" t="s">
        <v>278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7" ht="15.6">
      <c r="A12" s="99"/>
      <c r="B12" s="9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7" ht="15.6">
      <c r="A13" s="411" t="s">
        <v>432</v>
      </c>
      <c r="B13" s="384" t="s">
        <v>23</v>
      </c>
      <c r="C13" s="98">
        <v>1573.74</v>
      </c>
      <c r="D13" s="98">
        <v>677.5</v>
      </c>
      <c r="E13" s="98">
        <v>31279.85</v>
      </c>
      <c r="F13" s="98">
        <v>115.05</v>
      </c>
      <c r="G13" s="98">
        <v>48423.95</v>
      </c>
      <c r="H13" s="480">
        <v>-44420.03</v>
      </c>
      <c r="I13" s="480">
        <v>613.05999999999995</v>
      </c>
      <c r="J13" s="98">
        <v>41910.480000000003</v>
      </c>
      <c r="K13" s="98">
        <v>759.83</v>
      </c>
      <c r="L13" s="98">
        <v>583.46</v>
      </c>
      <c r="M13" s="98">
        <v>42219.29</v>
      </c>
      <c r="N13" s="98">
        <v>-24068.05</v>
      </c>
      <c r="O13" s="98">
        <f>ROUND(SUM(C13:N13),0)</f>
        <v>99668</v>
      </c>
      <c r="P13" s="355"/>
    </row>
    <row r="14" spans="1:17" ht="15.6">
      <c r="A14" s="411" t="s">
        <v>433</v>
      </c>
      <c r="B14" s="384" t="s">
        <v>558</v>
      </c>
      <c r="C14" s="98">
        <v>3468.29</v>
      </c>
      <c r="D14" s="98">
        <v>13682.62</v>
      </c>
      <c r="E14" s="98">
        <v>2721.61</v>
      </c>
      <c r="F14" s="98">
        <v>4564.08</v>
      </c>
      <c r="G14" s="98">
        <v>3104.83</v>
      </c>
      <c r="H14" s="480">
        <v>5239.57</v>
      </c>
      <c r="I14" s="480">
        <v>2436.6799999999998</v>
      </c>
      <c r="J14" s="98">
        <v>2762.75</v>
      </c>
      <c r="K14" s="98">
        <f>2462.85+10.63</f>
        <v>2473.48</v>
      </c>
      <c r="L14" s="98">
        <v>3440.45</v>
      </c>
      <c r="M14" s="98">
        <v>7081.88</v>
      </c>
      <c r="N14" s="98">
        <v>3124.93</v>
      </c>
      <c r="O14" s="98">
        <f t="shared" ref="O14:O20" si="0">ROUND(SUM(C14:N14),0)</f>
        <v>54101</v>
      </c>
      <c r="P14" s="355"/>
    </row>
    <row r="15" spans="1:17" ht="15.6">
      <c r="A15" s="412" t="s">
        <v>434</v>
      </c>
      <c r="B15" s="385" t="s">
        <v>23</v>
      </c>
      <c r="C15" s="98">
        <v>275</v>
      </c>
      <c r="D15" s="98">
        <v>10718.76</v>
      </c>
      <c r="E15" s="98">
        <v>-10718.76</v>
      </c>
      <c r="F15" s="98">
        <v>8955</v>
      </c>
      <c r="G15" s="98">
        <v>98491.81</v>
      </c>
      <c r="H15" s="480"/>
      <c r="I15" s="480">
        <v>1643462.01</v>
      </c>
      <c r="J15" s="98">
        <v>210068.2</v>
      </c>
      <c r="K15" s="98">
        <v>3133</v>
      </c>
      <c r="L15" s="98">
        <v>44091.79</v>
      </c>
      <c r="M15" s="98">
        <v>602696.12</v>
      </c>
      <c r="N15" s="98">
        <v>475</v>
      </c>
      <c r="O15" s="98">
        <f t="shared" si="0"/>
        <v>2611648</v>
      </c>
      <c r="P15" s="355"/>
    </row>
    <row r="16" spans="1:17" ht="15.6">
      <c r="A16" s="411" t="s">
        <v>435</v>
      </c>
      <c r="B16" s="384" t="s">
        <v>274</v>
      </c>
      <c r="C16" s="98">
        <v>5786.84</v>
      </c>
      <c r="D16" s="98">
        <v>678.13</v>
      </c>
      <c r="E16" s="98">
        <v>602.24</v>
      </c>
      <c r="F16" s="98">
        <v>326.72000000000003</v>
      </c>
      <c r="G16" s="98">
        <v>306.66000000000003</v>
      </c>
      <c r="H16" s="480">
        <v>716.36</v>
      </c>
      <c r="I16" s="480">
        <v>329.61</v>
      </c>
      <c r="J16" s="98">
        <v>218.78</v>
      </c>
      <c r="K16" s="98">
        <v>1490.06</v>
      </c>
      <c r="L16" s="98">
        <v>927.12</v>
      </c>
      <c r="M16" s="98">
        <v>3771.43</v>
      </c>
      <c r="N16" s="98">
        <v>2348.65</v>
      </c>
      <c r="O16" s="98">
        <f t="shared" si="0"/>
        <v>17503</v>
      </c>
      <c r="P16" s="355"/>
    </row>
    <row r="17" spans="1:15" ht="15.6">
      <c r="A17" s="411" t="s">
        <v>436</v>
      </c>
      <c r="B17" s="384" t="s">
        <v>522</v>
      </c>
      <c r="C17" s="98"/>
      <c r="D17" s="98">
        <v>63.37</v>
      </c>
      <c r="E17" s="98">
        <v>30999.11</v>
      </c>
      <c r="F17" s="98"/>
      <c r="G17" s="98"/>
      <c r="H17" s="480"/>
      <c r="I17" s="480"/>
      <c r="J17" s="98">
        <v>-706.67</v>
      </c>
      <c r="K17" s="98">
        <v>2268.0100000000002</v>
      </c>
      <c r="L17" s="98"/>
      <c r="M17" s="98">
        <v>-19800.55</v>
      </c>
      <c r="N17" s="98">
        <v>42432</v>
      </c>
      <c r="O17" s="98">
        <f t="shared" si="0"/>
        <v>55255</v>
      </c>
    </row>
    <row r="18" spans="1:15" ht="15.6">
      <c r="A18" s="412" t="s">
        <v>437</v>
      </c>
      <c r="B18" s="385" t="s">
        <v>442</v>
      </c>
      <c r="C18" s="98">
        <v>550</v>
      </c>
      <c r="D18" s="98">
        <v>9553.59</v>
      </c>
      <c r="E18" s="98"/>
      <c r="F18" s="98">
        <v>-11.18</v>
      </c>
      <c r="G18" s="98">
        <v>-395</v>
      </c>
      <c r="H18" s="480"/>
      <c r="I18" s="480">
        <v>-728.24</v>
      </c>
      <c r="J18" s="98"/>
      <c r="K18" s="98"/>
      <c r="L18" s="98"/>
      <c r="M18" s="98"/>
      <c r="N18" s="98"/>
      <c r="O18" s="98">
        <f t="shared" si="0"/>
        <v>8969</v>
      </c>
    </row>
    <row r="19" spans="1:15" ht="15.6">
      <c r="A19" s="99"/>
      <c r="B19" s="384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5.6">
      <c r="A20" s="409" t="s">
        <v>222</v>
      </c>
      <c r="B20" s="409"/>
      <c r="C20" s="96">
        <f t="shared" ref="C20:N20" si="1">SUM(C13:C19)</f>
        <v>11653.869999999999</v>
      </c>
      <c r="D20" s="96">
        <f t="shared" si="1"/>
        <v>35373.97</v>
      </c>
      <c r="E20" s="96">
        <f t="shared" si="1"/>
        <v>54884.05</v>
      </c>
      <c r="F20" s="96">
        <v>13949.67</v>
      </c>
      <c r="G20" s="96">
        <f t="shared" si="1"/>
        <v>149932.25</v>
      </c>
      <c r="H20" s="96">
        <f t="shared" si="1"/>
        <v>-38464.1</v>
      </c>
      <c r="I20" s="96">
        <f t="shared" si="1"/>
        <v>1646113.12</v>
      </c>
      <c r="J20" s="96">
        <f t="shared" si="1"/>
        <v>254253.54</v>
      </c>
      <c r="K20" s="96">
        <f t="shared" si="1"/>
        <v>10124.379999999999</v>
      </c>
      <c r="L20" s="96">
        <f t="shared" si="1"/>
        <v>49042.82</v>
      </c>
      <c r="M20" s="96">
        <f t="shared" si="1"/>
        <v>635968.17000000004</v>
      </c>
      <c r="N20" s="96">
        <f t="shared" si="1"/>
        <v>24312.530000000002</v>
      </c>
      <c r="O20" s="96">
        <f t="shared" si="0"/>
        <v>2847144</v>
      </c>
    </row>
    <row r="21" spans="1:15" ht="15.6">
      <c r="A21" s="99"/>
      <c r="B21" s="99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5.6">
      <c r="A22" s="408" t="s">
        <v>221</v>
      </c>
      <c r="B22" s="408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5.6">
      <c r="A23" s="108"/>
      <c r="B23" s="108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5.6">
      <c r="A24" s="97" t="s">
        <v>225</v>
      </c>
      <c r="B24" s="97"/>
      <c r="C24" s="93">
        <f>-C20</f>
        <v>-11653.869999999999</v>
      </c>
      <c r="D24" s="93">
        <f>-D20</f>
        <v>-35373.97</v>
      </c>
      <c r="E24" s="93">
        <f t="shared" ref="E24:N24" si="2">-E20</f>
        <v>-54884.05</v>
      </c>
      <c r="F24" s="93">
        <v>-13949.67</v>
      </c>
      <c r="G24" s="93">
        <f t="shared" si="2"/>
        <v>-149932.25</v>
      </c>
      <c r="H24" s="93">
        <f t="shared" si="2"/>
        <v>38464.1</v>
      </c>
      <c r="I24" s="93">
        <f t="shared" si="2"/>
        <v>-1646113.12</v>
      </c>
      <c r="J24" s="93">
        <f t="shared" si="2"/>
        <v>-254253.54</v>
      </c>
      <c r="K24" s="93">
        <f t="shared" si="2"/>
        <v>-10124.379999999999</v>
      </c>
      <c r="L24" s="93">
        <f t="shared" si="2"/>
        <v>-49042.82</v>
      </c>
      <c r="M24" s="93">
        <f t="shared" si="2"/>
        <v>-635968.17000000004</v>
      </c>
      <c r="N24" s="93">
        <f t="shared" si="2"/>
        <v>-24312.530000000002</v>
      </c>
      <c r="O24" s="98">
        <f>ROUND(SUM(C24:N24),0)</f>
        <v>-2847144</v>
      </c>
    </row>
    <row r="25" spans="1:15" ht="15.6">
      <c r="A25" s="108"/>
      <c r="B25" s="108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15.6">
      <c r="A26" s="108"/>
      <c r="B26" s="10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5.6">
      <c r="A27" s="408" t="s">
        <v>220</v>
      </c>
      <c r="B27" s="408"/>
      <c r="C27" s="96">
        <f>ROUND(SUM(C23:C26),0)</f>
        <v>-11654</v>
      </c>
      <c r="D27" s="96">
        <f>ROUND(SUM(D23:D26),0)</f>
        <v>-35374</v>
      </c>
      <c r="E27" s="96">
        <f t="shared" ref="E27:N27" si="3">ROUND(SUM(E23:E26),0)</f>
        <v>-54884</v>
      </c>
      <c r="F27" s="96">
        <v>-13950</v>
      </c>
      <c r="G27" s="96">
        <f t="shared" si="3"/>
        <v>-149932</v>
      </c>
      <c r="H27" s="96">
        <f t="shared" si="3"/>
        <v>38464</v>
      </c>
      <c r="I27" s="96">
        <f t="shared" si="3"/>
        <v>-1646113</v>
      </c>
      <c r="J27" s="96">
        <f t="shared" si="3"/>
        <v>-254254</v>
      </c>
      <c r="K27" s="96">
        <f t="shared" si="3"/>
        <v>-10124</v>
      </c>
      <c r="L27" s="96">
        <f t="shared" si="3"/>
        <v>-49043</v>
      </c>
      <c r="M27" s="96">
        <f t="shared" si="3"/>
        <v>-635968</v>
      </c>
      <c r="N27" s="96">
        <f t="shared" si="3"/>
        <v>-24313</v>
      </c>
      <c r="O27" s="96">
        <f>SUM(O23:O26)</f>
        <v>-2847144</v>
      </c>
    </row>
    <row r="28" spans="1:15" ht="15.6">
      <c r="A28" s="99"/>
      <c r="B28" s="99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6.2" thickBot="1">
      <c r="A29" s="366" t="s">
        <v>219</v>
      </c>
      <c r="B29" s="366"/>
      <c r="C29" s="370">
        <f t="shared" ref="C29:O29" si="4">ROUND(+C9+C20+C27,0)</f>
        <v>0</v>
      </c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>
        <f t="shared" si="4"/>
        <v>0</v>
      </c>
    </row>
    <row r="30" spans="1:15" ht="15.6">
      <c r="A30" s="109"/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5" ht="15.6">
      <c r="A31" s="109"/>
      <c r="B31" s="10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15.6">
      <c r="A32" s="109"/>
      <c r="B32" s="10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15.6">
      <c r="A33" s="109"/>
      <c r="B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15.6">
      <c r="A34" s="109"/>
      <c r="B34" s="109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15.6">
      <c r="A35" s="109"/>
      <c r="B35" s="109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5.6">
      <c r="A36" s="109"/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.6">
      <c r="A37" s="109"/>
      <c r="B37" s="109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.6">
      <c r="A38" s="109"/>
      <c r="B38" s="109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2018-11-02T18:28:06Z</cp:lastPrinted>
  <dcterms:created xsi:type="dcterms:W3CDTF">2007-10-30T15:19:17Z</dcterms:created>
  <dcterms:modified xsi:type="dcterms:W3CDTF">2019-10-10T03:07:39Z</dcterms:modified>
</cp:coreProperties>
</file>